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480" windowHeight="8190" tabRatio="469"/>
  </bookViews>
  <sheets>
    <sheet name="Kalkulation" sheetId="1" r:id="rId1"/>
    <sheet name="Ausgaben" sheetId="2" r:id="rId2"/>
    <sheet name="Einnahmen" sheetId="3" r:id="rId3"/>
  </sheets>
  <calcPr calcId="124519"/>
</workbook>
</file>

<file path=xl/calcChain.xml><?xml version="1.0" encoding="utf-8"?>
<calcChain xmlns="http://schemas.openxmlformats.org/spreadsheetml/2006/main">
  <c r="G5" i="3"/>
  <c r="G17"/>
  <c r="F17"/>
  <c r="G28" i="2"/>
  <c r="G44"/>
  <c r="G43"/>
  <c r="G42"/>
  <c r="G41"/>
  <c r="G39"/>
  <c r="G7"/>
  <c r="G8"/>
  <c r="G9"/>
  <c r="G10"/>
  <c r="G11"/>
  <c r="G12"/>
  <c r="G13"/>
  <c r="G14"/>
  <c r="G15"/>
  <c r="G17"/>
  <c r="G18"/>
  <c r="G19"/>
  <c r="G20"/>
  <c r="G21"/>
  <c r="G22"/>
  <c r="G23"/>
  <c r="G26"/>
  <c r="G27"/>
  <c r="G29"/>
  <c r="G30"/>
  <c r="G34"/>
  <c r="E35"/>
  <c r="G35" s="1"/>
  <c r="G36"/>
  <c r="G37"/>
  <c r="G38"/>
  <c r="G40"/>
  <c r="E46"/>
  <c r="F53"/>
  <c r="F46" s="1"/>
  <c r="G54"/>
  <c r="G55"/>
  <c r="G56"/>
  <c r="G57"/>
  <c r="E58"/>
  <c r="F58" s="1"/>
  <c r="G60"/>
  <c r="G61"/>
  <c r="G63"/>
  <c r="F6" i="3"/>
  <c r="G6" s="1"/>
  <c r="F7"/>
  <c r="G7" s="1"/>
  <c r="F8"/>
  <c r="G8" s="1"/>
  <c r="F9"/>
  <c r="G9" s="1"/>
  <c r="F10"/>
  <c r="G10" s="1"/>
  <c r="F11"/>
  <c r="G11" s="1"/>
  <c r="F12"/>
  <c r="G12" s="1"/>
  <c r="F13"/>
  <c r="G13" s="1"/>
  <c r="F14"/>
  <c r="G14" s="1"/>
  <c r="F15"/>
  <c r="G15" s="1"/>
  <c r="F16"/>
  <c r="G16" s="1"/>
  <c r="G19"/>
  <c r="G18"/>
  <c r="G20"/>
  <c r="F22"/>
  <c r="G22" s="1"/>
  <c r="F23"/>
  <c r="G23" s="1"/>
  <c r="H23" s="1"/>
  <c r="F24"/>
  <c r="G24" s="1"/>
  <c r="H24" s="1"/>
  <c r="G26"/>
  <c r="G25"/>
  <c r="F32"/>
  <c r="F31" s="1"/>
  <c r="E34"/>
  <c r="E35"/>
  <c r="F35"/>
  <c r="G35" s="1"/>
  <c r="D13" i="1"/>
  <c r="D20" s="1"/>
  <c r="H17"/>
  <c r="E18"/>
  <c r="D21"/>
  <c r="E31" i="2" s="1"/>
  <c r="G31" s="1"/>
  <c r="H19" i="3"/>
  <c r="H20"/>
  <c r="G62" i="2"/>
  <c r="G32" i="3"/>
  <c r="H26"/>
  <c r="F62" i="2"/>
  <c r="F59" s="1"/>
  <c r="H17" i="3" l="1"/>
  <c r="H44" i="2"/>
  <c r="G46"/>
  <c r="G21" i="3"/>
  <c r="H22"/>
  <c r="G53" i="2"/>
  <c r="E6"/>
  <c r="G6" s="1"/>
  <c r="G5" s="1"/>
  <c r="H6" s="1"/>
  <c r="E32"/>
  <c r="G32" s="1"/>
  <c r="E25"/>
  <c r="G25" s="1"/>
  <c r="D22" i="1"/>
  <c r="E22" s="1"/>
  <c r="G58" i="2"/>
  <c r="F52"/>
  <c r="G52" s="1"/>
  <c r="E33"/>
  <c r="G33" s="1"/>
  <c r="E24"/>
  <c r="G24" s="1"/>
  <c r="G59"/>
  <c r="F51"/>
  <c r="G31" i="3"/>
  <c r="H6"/>
  <c r="H14"/>
  <c r="H15"/>
  <c r="H43" i="2" l="1"/>
  <c r="H39"/>
  <c r="H10" i="3"/>
  <c r="H7"/>
  <c r="H13"/>
  <c r="H9"/>
  <c r="H8"/>
  <c r="H12"/>
  <c r="H16"/>
  <c r="H11"/>
  <c r="G16" i="2"/>
  <c r="H31" s="1"/>
  <c r="H32"/>
  <c r="H55"/>
  <c r="H54"/>
  <c r="H56"/>
  <c r="H53"/>
  <c r="H61"/>
  <c r="H57"/>
  <c r="H62"/>
  <c r="H35"/>
  <c r="H58"/>
  <c r="G4" i="3"/>
  <c r="H5" s="1"/>
  <c r="H24" i="1"/>
  <c r="E24"/>
  <c r="H7" i="2"/>
  <c r="H9"/>
  <c r="H11"/>
  <c r="H13"/>
  <c r="H15"/>
  <c r="H8"/>
  <c r="H10"/>
  <c r="H12"/>
  <c r="H14"/>
  <c r="H34"/>
  <c r="H37"/>
  <c r="H40"/>
  <c r="H36"/>
  <c r="H38"/>
  <c r="H30"/>
  <c r="H29"/>
  <c r="H32" i="3"/>
  <c r="H18" i="2"/>
  <c r="H22"/>
  <c r="H26"/>
  <c r="H17"/>
  <c r="H19"/>
  <c r="H21"/>
  <c r="H23"/>
  <c r="H27"/>
  <c r="H60"/>
  <c r="H63"/>
  <c r="F47"/>
  <c r="G47" s="1"/>
  <c r="G51"/>
  <c r="H52" s="1"/>
  <c r="E14" i="1"/>
  <c r="F34" i="3" s="1"/>
  <c r="F14" i="1"/>
  <c r="H41" i="2" l="1"/>
  <c r="H42"/>
  <c r="H59"/>
  <c r="H24"/>
  <c r="H20"/>
  <c r="H25"/>
  <c r="H33"/>
  <c r="G45"/>
  <c r="H25" i="3"/>
  <c r="H4"/>
  <c r="H18"/>
  <c r="H21"/>
  <c r="G34"/>
  <c r="F33"/>
  <c r="G33" l="1"/>
  <c r="F30"/>
  <c r="H46" i="2"/>
  <c r="G4"/>
  <c r="H34" i="3"/>
  <c r="H47" i="2"/>
  <c r="F28" i="1" l="1"/>
  <c r="F26"/>
  <c r="E28"/>
  <c r="E26"/>
  <c r="F29"/>
  <c r="F27"/>
  <c r="E29"/>
  <c r="E27"/>
  <c r="H5" i="2"/>
  <c r="H28"/>
  <c r="H16"/>
  <c r="H35" i="3"/>
  <c r="G30"/>
  <c r="H45" i="2"/>
  <c r="H30" i="3" l="1"/>
  <c r="H31"/>
  <c r="H33"/>
</calcChain>
</file>

<file path=xl/sharedStrings.xml><?xml version="1.0" encoding="utf-8"?>
<sst xmlns="http://schemas.openxmlformats.org/spreadsheetml/2006/main" count="160" uniqueCount="127">
  <si>
    <t>Kostenplanung muCCC Infrastrukturprojekt</t>
  </si>
  <si>
    <t>Eingabefelder sind blassgrün hinterlegt:</t>
  </si>
  <si>
    <r>
      <t xml:space="preserve">Das Sheet </t>
    </r>
    <r>
      <rPr>
        <b/>
        <sz val="10"/>
        <rFont val="Arial"/>
        <family val="2"/>
      </rPr>
      <t>Kalkulation</t>
    </r>
    <r>
      <rPr>
        <sz val="10"/>
        <rFont val="Arial"/>
        <family val="2"/>
      </rPr>
      <t xml:space="preserve"> dient zum Durchspielen von Optionen.</t>
    </r>
  </si>
  <si>
    <r>
      <t xml:space="preserve">Die Sheets </t>
    </r>
    <r>
      <rPr>
        <b/>
        <sz val="10"/>
        <rFont val="Arial"/>
        <family val="2"/>
      </rPr>
      <t>Ausgaben</t>
    </r>
    <r>
      <rPr>
        <sz val="10"/>
        <rFont val="Arial"/>
        <family val="2"/>
      </rPr>
      <t xml:space="preserve"> und </t>
    </r>
    <r>
      <rPr>
        <b/>
        <sz val="10"/>
        <rFont val="Arial"/>
        <family val="2"/>
      </rPr>
      <t>Einnahmen</t>
    </r>
    <r>
      <rPr>
        <sz val="10"/>
        <rFont val="Arial"/>
        <family val="2"/>
      </rPr>
      <t xml:space="preserve"> dienen zum Feintunung der</t>
    </r>
    <r>
      <rPr>
        <b/>
        <sz val="10"/>
        <rFont val="Arial"/>
        <family val="2"/>
      </rPr>
      <t xml:space="preserve"> Kalkulation</t>
    </r>
    <r>
      <rPr>
        <sz val="10"/>
        <rFont val="Arial"/>
        <family val="2"/>
      </rPr>
      <t>.</t>
    </r>
  </si>
  <si>
    <t>Kalkulation</t>
  </si>
  <si>
    <t>Gewinne durch Mateverkauf etc pp sind nicht berücksichtigt.</t>
  </si>
  <si>
    <t>Verluste durch Matediebstahl etc pp jedoch auch nicht =)</t>
  </si>
  <si>
    <t>Annahme CCC Darlehen?</t>
  </si>
  <si>
    <t>Menge</t>
  </si>
  <si>
    <t>Ja</t>
  </si>
  <si>
    <t>Nein</t>
  </si>
  <si>
    <t>Anmerkungen</t>
  </si>
  <si>
    <t>Personen</t>
  </si>
  <si>
    <t>Mitglieder Chaosförderung</t>
  </si>
  <si>
    <t>Mitglieder CCC regulär</t>
  </si>
  <si>
    <t>Räumlichkeiten</t>
  </si>
  <si>
    <t>Kaltmiete</t>
  </si>
  <si>
    <t>Kaution / Provision</t>
  </si>
  <si>
    <t>Platzbedarf Lagerfläche</t>
  </si>
  <si>
    <t>Anwesende Personen – Durchschnitt</t>
  </si>
  <si>
    <t>Anwesende Personen – Spitze</t>
  </si>
  <si>
    <t>Benötigte Fläche in qm</t>
  </si>
  <si>
    <t>Sonstiges</t>
  </si>
  <si>
    <t>Tatsächlich eintreffende Spenden</t>
  </si>
  <si>
    <t>Vorlaufzeit Initialzündung</t>
  </si>
  <si>
    <t>Komplett</t>
  </si>
  <si>
    <t>Ohne Prio 3 Anschaffungskosten</t>
  </si>
  <si>
    <t>Ohne Prio 2 Anschaffungskosten</t>
  </si>
  <si>
    <t>Ohne Sicherheiten</t>
  </si>
  <si>
    <t>Ausgaben</t>
  </si>
  <si>
    <t>Initialzündung und Anschaffung</t>
  </si>
  <si>
    <t>Item</t>
  </si>
  <si>
    <t>Einzelpreis</t>
  </si>
  <si>
    <t>Gesamtpreis</t>
  </si>
  <si>
    <t>Anteil</t>
  </si>
  <si>
    <t>Gesamt</t>
  </si>
  <si>
    <t>Prio 1</t>
  </si>
  <si>
    <t>(Pfaffenhofen)</t>
  </si>
  <si>
    <t>Altes Sofa</t>
  </si>
  <si>
    <t>Beleuchtung</t>
  </si>
  <si>
    <t>Putzkram</t>
  </si>
  <si>
    <t>Mülleimer</t>
  </si>
  <si>
    <t>Wlan AP</t>
  </si>
  <si>
    <t>Tisch</t>
  </si>
  <si>
    <t>Schränke/Regale</t>
  </si>
  <si>
    <t>Ballotage Murmeln</t>
  </si>
  <si>
    <t>Kleinkrams Prio 1</t>
  </si>
  <si>
    <t>Diverse Werkzeuge, Prio1</t>
  </si>
  <si>
    <t>Prio 2</t>
  </si>
  <si>
    <t>Server</t>
  </si>
  <si>
    <t>Netzwerkkabel</t>
  </si>
  <si>
    <t>Switch</t>
  </si>
  <si>
    <t>Kaffeemaschine</t>
  </si>
  <si>
    <t>Wasserkocher</t>
  </si>
  <si>
    <t>Evtl.</t>
  </si>
  <si>
    <t>Beamer</t>
  </si>
  <si>
    <t>Leinwand</t>
  </si>
  <si>
    <t>Bürostühle</t>
  </si>
  <si>
    <t>Tassen/Gläser</t>
  </si>
  <si>
    <t>Stromkabel</t>
  </si>
  <si>
    <t>Diverse Werkzeuge, Prio2</t>
  </si>
  <si>
    <t>Prio 3</t>
  </si>
  <si>
    <t>Gebr. Kühlschrank</t>
  </si>
  <si>
    <t>Diverse Werkzeuge, Prio 3</t>
  </si>
  <si>
    <t>Besteck</t>
  </si>
  <si>
    <t>Gläser</t>
  </si>
  <si>
    <t>Teller</t>
  </si>
  <si>
    <t>FnordSense</t>
  </si>
  <si>
    <t>Basisstation</t>
  </si>
  <si>
    <t>Anfertigung Schlüssel</t>
  </si>
  <si>
    <t>Drucker</t>
  </si>
  <si>
    <t>Microwelle</t>
  </si>
  <si>
    <t>Stereoanlage</t>
  </si>
  <si>
    <t>Lötkolbenresistenter Werktisch</t>
  </si>
  <si>
    <t>Sicherheiten</t>
  </si>
  <si>
    <t>Mietkaution/Provision</t>
  </si>
  <si>
    <t>Laufende Kosten</t>
  </si>
  <si>
    <t>Im Monat</t>
  </si>
  <si>
    <t>Im Jahr</t>
  </si>
  <si>
    <t>Miete</t>
  </si>
  <si>
    <t>Heizung, Strom, Wasser</t>
  </si>
  <si>
    <t>DSL</t>
  </si>
  <si>
    <t>Versicherungen</t>
  </si>
  <si>
    <t>Kontoführungsgebühren</t>
  </si>
  <si>
    <t>Bank-Gebühr pro Überweisung</t>
  </si>
  <si>
    <t>Domain</t>
  </si>
  <si>
    <t>Erste 18 Monate</t>
  </si>
  <si>
    <t>Rückzahlung Darlehen</t>
  </si>
  <si>
    <t xml:space="preserve"> </t>
  </si>
  <si>
    <t>Instandhaltung</t>
  </si>
  <si>
    <t>Einnahmen</t>
  </si>
  <si>
    <t>Einmalig</t>
  </si>
  <si>
    <t>Sachspenden</t>
  </si>
  <si>
    <t>Sofa von Zaphod</t>
  </si>
  <si>
    <t>Tisch von Zaphod</t>
  </si>
  <si>
    <t>Sofa von DaN</t>
  </si>
  <si>
    <t>Tisch von DaN</t>
  </si>
  <si>
    <t>Kühlschrank von DaN</t>
  </si>
  <si>
    <t>Lampe von DaN</t>
  </si>
  <si>
    <t>Server von DaN</t>
  </si>
  <si>
    <t>Switch von DaN</t>
  </si>
  <si>
    <t xml:space="preserve">Netzwerkkabel von DaN </t>
  </si>
  <si>
    <t>AP von schneider</t>
  </si>
  <si>
    <t>Geschirr von sva</t>
  </si>
  <si>
    <t>Geldspenden</t>
  </si>
  <si>
    <t>h07.org</t>
  </si>
  <si>
    <t>Ssc</t>
  </si>
  <si>
    <t>Dauerleihgaben</t>
  </si>
  <si>
    <t>Beamer by apic oder h07</t>
  </si>
  <si>
    <t>Stereoanlage by kiu</t>
  </si>
  <si>
    <t>24port Switch by kiu</t>
  </si>
  <si>
    <t>Darlehen</t>
  </si>
  <si>
    <t>CCC</t>
  </si>
  <si>
    <t>Wiederkehrend</t>
  </si>
  <si>
    <t>Spenden</t>
  </si>
  <si>
    <t>Domain von Codec</t>
  </si>
  <si>
    <t>Mitgliedsbeiräge</t>
  </si>
  <si>
    <t>Chaosförderung</t>
  </si>
  <si>
    <t>Regulär</t>
  </si>
  <si>
    <t>Grill</t>
  </si>
  <si>
    <t>Hollywoodschaukel</t>
  </si>
  <si>
    <t>GSD-Gmbh.de</t>
  </si>
  <si>
    <t>2nd Hand LCDs</t>
  </si>
  <si>
    <t>co2 Feuerlöscher</t>
  </si>
  <si>
    <t>Verbandskasen</t>
  </si>
  <si>
    <t>Stand 2007-12-09</t>
  </si>
  <si>
    <t>Sitzsäcke von Codec</t>
  </si>
</sst>
</file>

<file path=xl/styles.xml><?xml version="1.0" encoding="utf-8"?>
<styleSheet xmlns="http://schemas.openxmlformats.org/spreadsheetml/2006/main">
  <numFmts count="12">
    <numFmt numFmtId="164" formatCode="#,##0.00\ [$€-407];[Red]\-#,##0.00\ [$€-407]"/>
    <numFmt numFmtId="165" formatCode="[$bei ]0&quot;% lfd. Kosten&quot;"/>
    <numFmt numFmtId="166" formatCode="0\ [$qm]"/>
    <numFmt numFmtId="167" formatCode="[$ -407]#,##0.00&quot; €/MM&quot;;[Red][$ -407]\-#,##0.00&quot; €/MM&quot;"/>
    <numFmt numFmtId="168" formatCode="[$á ]0.00&quot; €/qm&quot;"/>
    <numFmt numFmtId="169" formatCode="0\ [$MM]"/>
    <numFmt numFmtId="170" formatCode="[$á ]0.00&quot; qm/Person&quot;"/>
    <numFmt numFmtId="171" formatCode="#,##0.00&quot; €/MM&quot;;[Red]\-#,##0.00&quot; €/MM&quot;"/>
    <numFmt numFmtId="172" formatCode="[$statt ]0.00&quot; €&quot;"/>
    <numFmt numFmtId="173" formatCode="0\ [$Monate]"/>
    <numFmt numFmtId="174" formatCode="0.00&quot; €&quot;"/>
    <numFmt numFmtId="175" formatCode="0.0\ [$Monate]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24"/>
        <bgColor indexed="55"/>
      </patternFill>
    </fill>
    <fill>
      <patternFill patternType="solid">
        <fgColor indexed="62"/>
        <bgColor indexed="63"/>
      </patternFill>
    </fill>
    <fill>
      <patternFill patternType="solid">
        <fgColor indexed="9"/>
        <bgColor indexed="26"/>
      </patternFill>
    </fill>
  </fills>
  <borders count="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0" fillId="2" borderId="1" xfId="0" applyFill="1" applyBorder="1"/>
    <xf numFmtId="0" fontId="2" fillId="0" borderId="0" xfId="0" applyFont="1"/>
    <xf numFmtId="0" fontId="0" fillId="0" borderId="0" xfId="0" applyFont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0" fontId="3" fillId="4" borderId="0" xfId="0" applyFont="1" applyFill="1"/>
    <xf numFmtId="0" fontId="3" fillId="4" borderId="0" xfId="0" applyFont="1" applyFill="1" applyAlignment="1">
      <alignment horizontal="center"/>
    </xf>
    <xf numFmtId="0" fontId="0" fillId="0" borderId="0" xfId="0" applyFont="1" applyAlignment="1"/>
    <xf numFmtId="0" fontId="0" fillId="2" borderId="0" xfId="0" applyFont="1" applyFill="1"/>
    <xf numFmtId="164" fontId="0" fillId="5" borderId="0" xfId="0" applyNumberFormat="1" applyFont="1" applyFill="1"/>
    <xf numFmtId="165" fontId="0" fillId="2" borderId="0" xfId="0" applyNumberFormat="1" applyFill="1" applyAlignment="1">
      <alignment horizontal="left"/>
    </xf>
    <xf numFmtId="164" fontId="0" fillId="2" borderId="0" xfId="0" applyNumberFormat="1" applyFont="1" applyFill="1"/>
    <xf numFmtId="0" fontId="2" fillId="3" borderId="0" xfId="0" applyFont="1" applyFill="1" applyAlignment="1">
      <alignment horizontal="left"/>
    </xf>
    <xf numFmtId="166" fontId="0" fillId="2" borderId="0" xfId="0" applyNumberFormat="1" applyFont="1" applyFill="1"/>
    <xf numFmtId="167" fontId="0" fillId="2" borderId="0" xfId="0" applyNumberFormat="1" applyFont="1" applyFill="1"/>
    <xf numFmtId="168" fontId="0" fillId="5" borderId="0" xfId="0" applyNumberFormat="1" applyFill="1" applyAlignment="1">
      <alignment horizontal="left"/>
    </xf>
    <xf numFmtId="169" fontId="0" fillId="2" borderId="0" xfId="0" applyNumberFormat="1" applyFont="1" applyFill="1"/>
    <xf numFmtId="0" fontId="0" fillId="5" borderId="0" xfId="0" applyFont="1" applyFill="1"/>
    <xf numFmtId="170" fontId="0" fillId="2" borderId="0" xfId="0" applyNumberFormat="1" applyFill="1" applyAlignment="1">
      <alignment horizontal="left"/>
    </xf>
    <xf numFmtId="166" fontId="0" fillId="5" borderId="0" xfId="0" applyNumberFormat="1" applyFont="1" applyFill="1"/>
    <xf numFmtId="171" fontId="0" fillId="5" borderId="0" xfId="0" applyNumberFormat="1" applyFont="1" applyFill="1"/>
    <xf numFmtId="168" fontId="0" fillId="2" borderId="0" xfId="0" applyNumberFormat="1" applyFill="1" applyAlignment="1">
      <alignment horizontal="left"/>
    </xf>
    <xf numFmtId="9" fontId="0" fillId="2" borderId="0" xfId="0" applyNumberFormat="1" applyFont="1" applyFill="1"/>
    <xf numFmtId="172" fontId="0" fillId="5" borderId="0" xfId="0" applyNumberFormat="1" applyFill="1" applyAlignment="1">
      <alignment horizontal="left"/>
    </xf>
    <xf numFmtId="173" fontId="0" fillId="5" borderId="0" xfId="0" applyNumberFormat="1" applyFont="1" applyFill="1"/>
    <xf numFmtId="173" fontId="0" fillId="0" borderId="0" xfId="0" applyNumberFormat="1" applyFont="1"/>
    <xf numFmtId="173" fontId="0" fillId="0" borderId="0" xfId="0" applyNumberFormat="1"/>
    <xf numFmtId="10" fontId="0" fillId="0" borderId="0" xfId="0" applyNumberFormat="1"/>
    <xf numFmtId="0" fontId="0" fillId="0" borderId="0" xfId="0" applyAlignment="1">
      <alignment horizontal="left"/>
    </xf>
    <xf numFmtId="164" fontId="3" fillId="4" borderId="0" xfId="0" applyNumberFormat="1" applyFont="1" applyFill="1"/>
    <xf numFmtId="10" fontId="3" fillId="4" borderId="0" xfId="0" applyNumberFormat="1" applyFont="1" applyFill="1"/>
    <xf numFmtId="164" fontId="0" fillId="3" borderId="0" xfId="0" applyNumberFormat="1" applyFont="1" applyFill="1"/>
    <xf numFmtId="10" fontId="0" fillId="3" borderId="0" xfId="0" applyNumberFormat="1" applyFill="1"/>
    <xf numFmtId="164" fontId="0" fillId="0" borderId="0" xfId="0" applyNumberFormat="1"/>
    <xf numFmtId="169" fontId="0" fillId="5" borderId="0" xfId="0" applyNumberFormat="1" applyFont="1" applyFill="1"/>
    <xf numFmtId="164" fontId="0" fillId="0" borderId="0" xfId="0" applyNumberFormat="1" applyFont="1"/>
    <xf numFmtId="0" fontId="0" fillId="2" borderId="0" xfId="0" applyNumberFormat="1" applyFont="1" applyFill="1"/>
    <xf numFmtId="0" fontId="2" fillId="5" borderId="0" xfId="0" applyFont="1" applyFill="1"/>
    <xf numFmtId="164" fontId="2" fillId="5" borderId="0" xfId="0" applyNumberFormat="1" applyFont="1" applyFill="1"/>
    <xf numFmtId="10" fontId="2" fillId="5" borderId="0" xfId="0" applyNumberFormat="1" applyFont="1" applyFill="1"/>
    <xf numFmtId="174" fontId="0" fillId="5" borderId="0" xfId="0" applyNumberFormat="1" applyFont="1" applyFill="1"/>
    <xf numFmtId="175" fontId="0" fillId="5" borderId="0" xfId="0" applyNumberFormat="1" applyFont="1" applyFill="1"/>
    <xf numFmtId="175" fontId="2" fillId="0" borderId="0" xfId="0" applyNumberFormat="1" applyFont="1"/>
    <xf numFmtId="175" fontId="0" fillId="0" borderId="0" xfId="0" applyNumberFormat="1" applyFont="1"/>
    <xf numFmtId="175" fontId="0" fillId="0" borderId="0" xfId="0" applyNumberFormat="1"/>
  </cellXfs>
  <cellStyles count="1"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66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6"/>
  <sheetViews>
    <sheetView tabSelected="1" topLeftCell="C1" workbookViewId="0">
      <selection activeCell="H2" sqref="H2"/>
    </sheetView>
  </sheetViews>
  <sheetFormatPr baseColWidth="10" defaultColWidth="11.5703125" defaultRowHeight="12.75"/>
  <cols>
    <col min="1" max="2" width="2.42578125" customWidth="1"/>
    <col min="3" max="3" width="31.5703125" customWidth="1"/>
    <col min="4" max="4" width="7.5703125" customWidth="1"/>
    <col min="5" max="5" width="13.28515625" customWidth="1"/>
    <col min="6" max="6" width="14.42578125" bestFit="1" customWidth="1"/>
    <col min="7" max="7" width="1.42578125" customWidth="1"/>
    <col min="8" max="8" width="18.5703125" customWidth="1"/>
  </cols>
  <sheetData>
    <row r="1" spans="1:8" ht="15.75">
      <c r="A1" s="1" t="s">
        <v>0</v>
      </c>
      <c r="H1" t="s">
        <v>125</v>
      </c>
    </row>
    <row r="2" spans="1:8">
      <c r="B2" t="s">
        <v>1</v>
      </c>
      <c r="D2" s="2"/>
    </row>
    <row r="3" spans="1:8">
      <c r="B3" t="s">
        <v>2</v>
      </c>
    </row>
    <row r="4" spans="1:8">
      <c r="B4" t="s">
        <v>3</v>
      </c>
    </row>
    <row r="5" spans="1:8" ht="7.5" customHeight="1">
      <c r="A5" s="1"/>
    </row>
    <row r="6" spans="1:8" ht="15.75">
      <c r="A6" s="1" t="s">
        <v>4</v>
      </c>
    </row>
    <row r="7" spans="1:8">
      <c r="A7" s="3"/>
      <c r="B7" s="4" t="s">
        <v>5</v>
      </c>
    </row>
    <row r="8" spans="1:8">
      <c r="B8" t="s">
        <v>6</v>
      </c>
    </row>
    <row r="9" spans="1:8" ht="6.2" customHeight="1"/>
    <row r="10" spans="1:8">
      <c r="E10" s="5" t="s">
        <v>7</v>
      </c>
      <c r="F10" s="5"/>
      <c r="G10" s="5"/>
    </row>
    <row r="11" spans="1:8">
      <c r="C11" s="5"/>
      <c r="D11" s="5" t="s">
        <v>8</v>
      </c>
      <c r="E11" s="6" t="s">
        <v>9</v>
      </c>
      <c r="F11" s="6" t="s">
        <v>10</v>
      </c>
      <c r="G11" s="5"/>
      <c r="H11" s="5" t="s">
        <v>11</v>
      </c>
    </row>
    <row r="12" spans="1:8">
      <c r="B12" s="3"/>
      <c r="C12" s="7" t="s">
        <v>4</v>
      </c>
      <c r="D12" s="7"/>
      <c r="E12" s="8"/>
      <c r="F12" s="8"/>
      <c r="G12" s="7"/>
      <c r="H12" s="7"/>
    </row>
    <row r="13" spans="1:8">
      <c r="B13" s="3"/>
      <c r="C13" s="5" t="s">
        <v>12</v>
      </c>
      <c r="D13" s="5">
        <f>D14+D15</f>
        <v>30</v>
      </c>
      <c r="E13" s="5"/>
      <c r="F13" s="5"/>
      <c r="G13" s="5"/>
      <c r="H13" s="5"/>
    </row>
    <row r="14" spans="1:8">
      <c r="B14" s="3"/>
      <c r="C14" s="9" t="s">
        <v>13</v>
      </c>
      <c r="D14" s="10">
        <v>18</v>
      </c>
      <c r="E14" s="11">
        <f>ROUNDUP(((Ausgaben!F51-Einnahmen!F35)/100*H14)/D14,0)</f>
        <v>44</v>
      </c>
      <c r="F14" s="11">
        <f>ROUNDUP((((Ausgaben!F51-Einnahmen!F35)/100*H14)-Ausgaben!F62)/D14,0)</f>
        <v>39</v>
      </c>
      <c r="H14" s="12">
        <v>110</v>
      </c>
    </row>
    <row r="15" spans="1:8">
      <c r="B15" s="3"/>
      <c r="C15" t="s">
        <v>14</v>
      </c>
      <c r="D15" s="10">
        <v>12</v>
      </c>
      <c r="E15" s="13">
        <v>10</v>
      </c>
    </row>
    <row r="16" spans="1:8">
      <c r="B16" s="3"/>
      <c r="C16" s="5" t="s">
        <v>15</v>
      </c>
      <c r="D16" s="5"/>
      <c r="E16" s="5"/>
      <c r="F16" s="5"/>
      <c r="G16" s="5"/>
      <c r="H16" s="14"/>
    </row>
    <row r="17" spans="1:8">
      <c r="B17" s="3"/>
      <c r="C17" t="s">
        <v>16</v>
      </c>
      <c r="D17" s="15">
        <v>40</v>
      </c>
      <c r="E17" s="16">
        <v>450</v>
      </c>
      <c r="H17" s="17">
        <f>E17/D17</f>
        <v>11.25</v>
      </c>
    </row>
    <row r="18" spans="1:8">
      <c r="B18" s="3"/>
      <c r="C18" t="s">
        <v>17</v>
      </c>
      <c r="D18" s="18">
        <v>3</v>
      </c>
      <c r="E18" s="11">
        <f>E17*D18</f>
        <v>1350</v>
      </c>
    </row>
    <row r="19" spans="1:8">
      <c r="B19" s="3"/>
      <c r="C19" t="s">
        <v>18</v>
      </c>
      <c r="D19" s="15">
        <v>7</v>
      </c>
    </row>
    <row r="20" spans="1:8">
      <c r="B20" s="3"/>
      <c r="C20" t="s">
        <v>19</v>
      </c>
      <c r="D20" s="19">
        <f>ROUNDUP(D13/H20,0)</f>
        <v>12</v>
      </c>
      <c r="H20" s="20">
        <v>2.5</v>
      </c>
    </row>
    <row r="21" spans="1:8">
      <c r="B21" s="3"/>
      <c r="C21" t="s">
        <v>20</v>
      </c>
      <c r="D21" s="19">
        <f>ROUNDUP(D13/H21,0)</f>
        <v>20</v>
      </c>
      <c r="H21" s="20">
        <v>1.5</v>
      </c>
    </row>
    <row r="22" spans="1:8">
      <c r="A22" s="3"/>
      <c r="B22" s="3"/>
      <c r="C22" t="s">
        <v>21</v>
      </c>
      <c r="D22" s="21">
        <f>ROUND(MAX(($D$20*$H$20),($D$21*$H$21))+$D$19,0)</f>
        <v>37</v>
      </c>
      <c r="E22" s="22">
        <f>D22*H22</f>
        <v>407</v>
      </c>
      <c r="H22" s="23">
        <v>11</v>
      </c>
    </row>
    <row r="23" spans="1:8">
      <c r="A23" s="3"/>
      <c r="B23" s="3"/>
      <c r="C23" s="5" t="s">
        <v>22</v>
      </c>
      <c r="D23" s="5"/>
      <c r="E23" s="5"/>
      <c r="F23" s="5"/>
      <c r="G23" s="5"/>
      <c r="H23" s="5"/>
    </row>
    <row r="24" spans="1:8">
      <c r="A24" s="3"/>
      <c r="B24" s="3"/>
      <c r="C24" t="s">
        <v>23</v>
      </c>
      <c r="D24" s="24">
        <v>0.85</v>
      </c>
      <c r="E24" s="42">
        <f>ROUND((Einnahmen!G5+Einnahmen!G18+Einnahmen!G21)*D24,0)</f>
        <v>1820</v>
      </c>
      <c r="H24" s="25">
        <f>Einnahmen!G5+Einnahmen!G18+Einnahmen!G21</f>
        <v>2141</v>
      </c>
    </row>
    <row r="25" spans="1:8">
      <c r="A25" s="3"/>
      <c r="C25" s="5" t="s">
        <v>24</v>
      </c>
      <c r="D25" s="5"/>
      <c r="E25" s="5"/>
      <c r="F25" s="5"/>
      <c r="G25" s="5"/>
      <c r="H25" s="5"/>
    </row>
    <row r="26" spans="1:8">
      <c r="A26" s="3"/>
      <c r="B26" s="3"/>
      <c r="C26" t="s">
        <v>25</v>
      </c>
      <c r="D26" s="26"/>
      <c r="E26" s="43">
        <f>(Ausgaben!$G$4-$E$24-Einnahmen!$G$25)/Einnahmen!F33</f>
        <v>4.0160256410256414</v>
      </c>
      <c r="F26" s="43">
        <f>(Ausgaben!$G$4-$E$24-(Ausgaben!E47*Ausgaben!F62))/Einnahmen!F33</f>
        <v>5.4391025641025639</v>
      </c>
    </row>
    <row r="27" spans="1:8">
      <c r="A27" s="3"/>
      <c r="B27" s="3"/>
      <c r="C27" s="3" t="s">
        <v>26</v>
      </c>
      <c r="D27" s="27"/>
      <c r="E27" s="44">
        <f>(Ausgaben!$G$4-$E$24-Einnahmen!$G$25-Ausgaben!$G$28+Einnahmen!G10)/Einnahmen!F33</f>
        <v>2.3344017094017095</v>
      </c>
      <c r="F27" s="44">
        <f>(Ausgaben!$G$4-$E$24-Ausgaben!$G$28+Einnahmen!G10-(Ausgaben!E47*Ausgaben!F62))/Einnahmen!F33</f>
        <v>3.7574786324786325</v>
      </c>
      <c r="G27" s="3"/>
      <c r="H27" s="3"/>
    </row>
    <row r="28" spans="1:8">
      <c r="B28" s="3"/>
      <c r="C28" s="4" t="s">
        <v>27</v>
      </c>
      <c r="D28" s="27"/>
      <c r="E28" s="45">
        <f>(Ausgaben!$G$4-$E$24-Einnahmen!$G$25-Ausgaben!$G$16-Ausgaben!$G$28)/Einnahmen!F33</f>
        <v>0.66666666666666663</v>
      </c>
      <c r="F28" s="45">
        <f>(Ausgaben!$G$4-$E$24-Ausgaben!$G$16-Ausgaben!$G$28-(Ausgaben!E47*Ausgaben!F62))/Einnahmen!F33</f>
        <v>2.0897435897435899</v>
      </c>
      <c r="G28" s="4"/>
      <c r="H28" s="4"/>
    </row>
    <row r="29" spans="1:8">
      <c r="B29" s="3"/>
      <c r="C29" t="s">
        <v>28</v>
      </c>
      <c r="D29" s="28"/>
      <c r="E29" s="46">
        <f>(Ausgaben!$G$4-$E$24-Einnahmen!$G$25-Ausgaben!$G$16-Ausgaben!$G$28-Ausgaben!$G$45)/Einnahmen!F33</f>
        <v>-2.6014957264957266</v>
      </c>
      <c r="F29" s="46">
        <f>(Ausgaben!$G$4-$E$24-Ausgaben!$G$16-Ausgaben!$G$28-Ausgaben!$G$45-(Ausgaben!E47*Ausgaben!F62))/Einnahmen!F33</f>
        <v>-1.1784188034188035</v>
      </c>
    </row>
    <row r="30" spans="1:8">
      <c r="A30" s="3"/>
      <c r="B30" s="3"/>
    </row>
    <row r="31" spans="1:8">
      <c r="A31" s="3"/>
      <c r="B31" s="3"/>
    </row>
    <row r="32" spans="1:8">
      <c r="A32" s="3"/>
    </row>
    <row r="33" spans="1:7">
      <c r="A33" s="3"/>
    </row>
    <row r="34" spans="1:7">
      <c r="A34" s="3"/>
    </row>
    <row r="35" spans="1:7">
      <c r="A35" s="3"/>
    </row>
    <row r="36" spans="1:7">
      <c r="A36" s="3"/>
    </row>
    <row r="37" spans="1:7">
      <c r="A37" s="3"/>
    </row>
    <row r="38" spans="1:7">
      <c r="A38" s="3"/>
      <c r="G38">
        <v>150</v>
      </c>
    </row>
    <row r="39" spans="1:7">
      <c r="A39" s="3"/>
    </row>
    <row r="40" spans="1:7">
      <c r="A40" s="3"/>
    </row>
    <row r="41" spans="1:7">
      <c r="A41" s="3"/>
    </row>
    <row r="42" spans="1:7">
      <c r="A42" s="3"/>
    </row>
    <row r="43" spans="1:7">
      <c r="A43" s="3"/>
    </row>
    <row r="44" spans="1:7">
      <c r="A44" s="3"/>
    </row>
    <row r="45" spans="1:7">
      <c r="A45" s="3"/>
    </row>
    <row r="46" spans="1:7">
      <c r="A46" s="3"/>
      <c r="G46" s="29"/>
    </row>
    <row r="47" spans="1:7">
      <c r="A47" s="3"/>
      <c r="G47" s="29"/>
    </row>
    <row r="48" spans="1:7">
      <c r="A48" s="3"/>
      <c r="G48" s="29"/>
    </row>
    <row r="49" spans="1:7">
      <c r="A49" s="3"/>
    </row>
    <row r="50" spans="1:7">
      <c r="A50" s="3"/>
    </row>
    <row r="51" spans="1:7">
      <c r="A51" s="3"/>
    </row>
    <row r="52" spans="1:7">
      <c r="A52" s="3"/>
      <c r="G52" s="30"/>
    </row>
    <row r="53" spans="1:7">
      <c r="A53" s="3"/>
      <c r="G53" s="30"/>
    </row>
    <row r="54" spans="1:7">
      <c r="A54" s="3"/>
      <c r="G54" s="30"/>
    </row>
    <row r="55" spans="1:7">
      <c r="A55" s="3"/>
      <c r="B55" s="3"/>
      <c r="G55" s="30"/>
    </row>
    <row r="56" spans="1:7">
      <c r="A56" s="3"/>
      <c r="B56" s="3"/>
      <c r="G56" s="30"/>
    </row>
  </sheetData>
  <pageMargins left="0.78740157480314965" right="0.78740157480314965" top="1.0236220472440944" bottom="1.0236220472440944" header="0.78740157480314965" footer="0.78740157480314965"/>
  <pageSetup paperSize="9" orientation="landscape" useFirstPageNumber="1" horizontalDpi="300" verticalDpi="300" r:id="rId1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3"/>
  <sheetViews>
    <sheetView workbookViewId="0">
      <selection activeCell="A28" sqref="A28:XFD28"/>
    </sheetView>
  </sheetViews>
  <sheetFormatPr baseColWidth="10" defaultColWidth="11.5703125" defaultRowHeight="12.75"/>
  <cols>
    <col min="1" max="1" width="2" customWidth="1"/>
    <col min="2" max="2" width="2.28515625" customWidth="1"/>
    <col min="3" max="3" width="15" customWidth="1"/>
    <col min="4" max="4" width="26.5703125" customWidth="1"/>
    <col min="5" max="5" width="7.7109375" customWidth="1"/>
    <col min="7" max="7" width="12.7109375" customWidth="1"/>
    <col min="8" max="8" width="8.5703125" customWidth="1"/>
  </cols>
  <sheetData>
    <row r="1" spans="1:8" ht="15.75">
      <c r="A1" s="1" t="s">
        <v>29</v>
      </c>
    </row>
    <row r="2" spans="1:8" ht="15.75">
      <c r="B2" s="1" t="s">
        <v>30</v>
      </c>
    </row>
    <row r="3" spans="1:8">
      <c r="C3" s="5"/>
      <c r="D3" s="5" t="s">
        <v>31</v>
      </c>
      <c r="E3" s="5" t="s">
        <v>8</v>
      </c>
      <c r="F3" s="5" t="s">
        <v>32</v>
      </c>
      <c r="G3" s="5" t="s">
        <v>33</v>
      </c>
      <c r="H3" s="5" t="s">
        <v>34</v>
      </c>
    </row>
    <row r="4" spans="1:8">
      <c r="C4" s="7" t="s">
        <v>35</v>
      </c>
      <c r="D4" s="7"/>
      <c r="E4" s="7"/>
      <c r="F4" s="7"/>
      <c r="G4" s="31">
        <f>G5+G16+G28+G45</f>
        <v>7079</v>
      </c>
      <c r="H4" s="32">
        <v>1</v>
      </c>
    </row>
    <row r="5" spans="1:8">
      <c r="C5" s="5" t="s">
        <v>36</v>
      </c>
      <c r="D5" s="5"/>
      <c r="E5" s="5"/>
      <c r="F5" s="5"/>
      <c r="G5" s="33">
        <f>SUM(G6:G15)</f>
        <v>885</v>
      </c>
      <c r="H5" s="34">
        <f>G5/G$4</f>
        <v>0.12501765786127983</v>
      </c>
    </row>
    <row r="6" spans="1:8">
      <c r="C6" t="s">
        <v>37</v>
      </c>
      <c r="D6" t="s">
        <v>38</v>
      </c>
      <c r="E6" s="19">
        <f>ROUNDUP(Kalkulation!D20/3,0)</f>
        <v>4</v>
      </c>
      <c r="F6" s="13">
        <v>20</v>
      </c>
      <c r="G6" s="35">
        <f t="shared" ref="G6:G15" si="0">E6*F6</f>
        <v>80</v>
      </c>
      <c r="H6" s="29">
        <f t="shared" ref="H6:H15" si="1">G6/G$5</f>
        <v>9.03954802259887E-2</v>
      </c>
    </row>
    <row r="7" spans="1:8">
      <c r="D7" t="s">
        <v>39</v>
      </c>
      <c r="E7" s="10">
        <v>4</v>
      </c>
      <c r="F7" s="13">
        <v>40</v>
      </c>
      <c r="G7" s="35">
        <f t="shared" si="0"/>
        <v>160</v>
      </c>
      <c r="H7" s="29">
        <f t="shared" si="1"/>
        <v>0.1807909604519774</v>
      </c>
    </row>
    <row r="8" spans="1:8">
      <c r="D8" t="s">
        <v>40</v>
      </c>
      <c r="E8" s="10">
        <v>1</v>
      </c>
      <c r="F8" s="13">
        <v>50</v>
      </c>
      <c r="G8" s="35">
        <f t="shared" si="0"/>
        <v>50</v>
      </c>
      <c r="H8" s="29">
        <f t="shared" si="1"/>
        <v>5.6497175141242938E-2</v>
      </c>
    </row>
    <row r="9" spans="1:8">
      <c r="D9" t="s">
        <v>41</v>
      </c>
      <c r="E9" s="10">
        <v>1</v>
      </c>
      <c r="F9" s="13">
        <v>20</v>
      </c>
      <c r="G9" s="35">
        <f t="shared" si="0"/>
        <v>20</v>
      </c>
      <c r="H9" s="29">
        <f t="shared" si="1"/>
        <v>2.2598870056497175E-2</v>
      </c>
    </row>
    <row r="10" spans="1:8">
      <c r="D10" t="s">
        <v>42</v>
      </c>
      <c r="E10" s="10">
        <v>1</v>
      </c>
      <c r="F10" s="13">
        <v>50</v>
      </c>
      <c r="G10" s="35">
        <f t="shared" si="0"/>
        <v>50</v>
      </c>
      <c r="H10" s="29">
        <f t="shared" si="1"/>
        <v>5.6497175141242938E-2</v>
      </c>
    </row>
    <row r="11" spans="1:8">
      <c r="C11" t="s">
        <v>37</v>
      </c>
      <c r="D11" t="s">
        <v>43</v>
      </c>
      <c r="E11" s="10">
        <v>3</v>
      </c>
      <c r="F11" s="13">
        <v>50</v>
      </c>
      <c r="G11" s="35">
        <f t="shared" si="0"/>
        <v>150</v>
      </c>
      <c r="H11" s="29">
        <f t="shared" si="1"/>
        <v>0.16949152542372881</v>
      </c>
    </row>
    <row r="12" spans="1:8">
      <c r="C12" t="s">
        <v>37</v>
      </c>
      <c r="D12" t="s">
        <v>44</v>
      </c>
      <c r="E12" s="10">
        <v>3</v>
      </c>
      <c r="F12" s="13">
        <v>50</v>
      </c>
      <c r="G12" s="35">
        <f t="shared" si="0"/>
        <v>150</v>
      </c>
      <c r="H12" s="29">
        <f t="shared" si="1"/>
        <v>0.16949152542372881</v>
      </c>
    </row>
    <row r="13" spans="1:8">
      <c r="D13" t="s">
        <v>45</v>
      </c>
      <c r="E13" s="10">
        <v>1</v>
      </c>
      <c r="F13" s="13">
        <v>15</v>
      </c>
      <c r="G13" s="35">
        <f t="shared" si="0"/>
        <v>15</v>
      </c>
      <c r="H13" s="29">
        <f t="shared" si="1"/>
        <v>1.6949152542372881E-2</v>
      </c>
    </row>
    <row r="14" spans="1:8">
      <c r="D14" t="s">
        <v>46</v>
      </c>
      <c r="E14" s="10">
        <v>1</v>
      </c>
      <c r="F14" s="13">
        <v>150</v>
      </c>
      <c r="G14" s="35">
        <f t="shared" si="0"/>
        <v>150</v>
      </c>
      <c r="H14" s="29">
        <f t="shared" si="1"/>
        <v>0.16949152542372881</v>
      </c>
    </row>
    <row r="15" spans="1:8">
      <c r="D15" t="s">
        <v>47</v>
      </c>
      <c r="E15" s="10">
        <v>3</v>
      </c>
      <c r="F15" s="13">
        <v>20</v>
      </c>
      <c r="G15" s="35">
        <f t="shared" si="0"/>
        <v>60</v>
      </c>
      <c r="H15" s="29">
        <f t="shared" si="1"/>
        <v>6.7796610169491525E-2</v>
      </c>
    </row>
    <row r="16" spans="1:8">
      <c r="C16" s="5" t="s">
        <v>48</v>
      </c>
      <c r="D16" s="5"/>
      <c r="E16" s="5"/>
      <c r="F16" s="5"/>
      <c r="G16" s="33">
        <f>SUM(G17:G27)</f>
        <v>1436</v>
      </c>
      <c r="H16" s="34">
        <f>G16/G$4</f>
        <v>0.20285351038282243</v>
      </c>
    </row>
    <row r="17" spans="3:8">
      <c r="D17" t="s">
        <v>49</v>
      </c>
      <c r="E17" s="10">
        <v>1</v>
      </c>
      <c r="F17" s="13">
        <v>400</v>
      </c>
      <c r="G17" s="35">
        <f t="shared" ref="G17:G27" si="2">E17*F17</f>
        <v>400</v>
      </c>
      <c r="H17" s="29">
        <f t="shared" ref="H17:H27" si="3">G17/G$16</f>
        <v>0.2785515320334262</v>
      </c>
    </row>
    <row r="18" spans="3:8">
      <c r="D18" t="s">
        <v>50</v>
      </c>
      <c r="E18" s="10">
        <v>10</v>
      </c>
      <c r="F18" s="13">
        <v>3</v>
      </c>
      <c r="G18" s="35">
        <f t="shared" si="2"/>
        <v>30</v>
      </c>
      <c r="H18" s="29">
        <f t="shared" si="3"/>
        <v>2.0891364902506964E-2</v>
      </c>
    </row>
    <row r="19" spans="3:8">
      <c r="D19" t="s">
        <v>51</v>
      </c>
      <c r="E19" s="10">
        <v>2</v>
      </c>
      <c r="F19" s="13">
        <v>30</v>
      </c>
      <c r="G19" s="35">
        <f t="shared" si="2"/>
        <v>60</v>
      </c>
      <c r="H19" s="29">
        <f t="shared" si="3"/>
        <v>4.1782729805013928E-2</v>
      </c>
    </row>
    <row r="20" spans="3:8">
      <c r="D20" t="s">
        <v>52</v>
      </c>
      <c r="E20" s="10">
        <v>1</v>
      </c>
      <c r="F20" s="13">
        <v>50</v>
      </c>
      <c r="G20" s="35">
        <f t="shared" si="2"/>
        <v>50</v>
      </c>
      <c r="H20" s="29">
        <f t="shared" si="3"/>
        <v>3.4818941504178275E-2</v>
      </c>
    </row>
    <row r="21" spans="3:8">
      <c r="D21" t="s">
        <v>53</v>
      </c>
      <c r="E21" s="10">
        <v>1</v>
      </c>
      <c r="F21" s="13">
        <v>30</v>
      </c>
      <c r="G21" s="35">
        <f t="shared" si="2"/>
        <v>30</v>
      </c>
      <c r="H21" s="29">
        <f t="shared" si="3"/>
        <v>2.0891364902506964E-2</v>
      </c>
    </row>
    <row r="22" spans="3:8">
      <c r="C22" t="s">
        <v>54</v>
      </c>
      <c r="D22" t="s">
        <v>55</v>
      </c>
      <c r="E22" s="10">
        <v>1</v>
      </c>
      <c r="F22" s="13">
        <v>300</v>
      </c>
      <c r="G22" s="35">
        <f t="shared" si="2"/>
        <v>300</v>
      </c>
      <c r="H22" s="29">
        <f t="shared" si="3"/>
        <v>0.20891364902506965</v>
      </c>
    </row>
    <row r="23" spans="3:8">
      <c r="C23" t="s">
        <v>54</v>
      </c>
      <c r="D23" t="s">
        <v>56</v>
      </c>
      <c r="E23" s="10">
        <v>1</v>
      </c>
      <c r="F23" s="13">
        <v>100</v>
      </c>
      <c r="G23" s="35">
        <f t="shared" si="2"/>
        <v>100</v>
      </c>
      <c r="H23" s="29">
        <f t="shared" si="3"/>
        <v>6.9637883008356549E-2</v>
      </c>
    </row>
    <row r="24" spans="3:8">
      <c r="D24" t="s">
        <v>57</v>
      </c>
      <c r="E24" s="19">
        <f>Kalkulation!D21-Kalkulation!D20</f>
        <v>8</v>
      </c>
      <c r="F24" s="13">
        <v>35</v>
      </c>
      <c r="G24" s="35">
        <f t="shared" si="2"/>
        <v>280</v>
      </c>
      <c r="H24" s="29">
        <f t="shared" si="3"/>
        <v>0.19498607242339833</v>
      </c>
    </row>
    <row r="25" spans="3:8">
      <c r="D25" t="s">
        <v>58</v>
      </c>
      <c r="E25" s="19">
        <f>Kalkulation!D20</f>
        <v>12</v>
      </c>
      <c r="F25" s="13">
        <v>3</v>
      </c>
      <c r="G25" s="35">
        <f t="shared" si="2"/>
        <v>36</v>
      </c>
      <c r="H25" s="29">
        <f t="shared" si="3"/>
        <v>2.5069637883008356E-2</v>
      </c>
    </row>
    <row r="26" spans="3:8">
      <c r="D26" t="s">
        <v>59</v>
      </c>
      <c r="E26" s="19">
        <v>10</v>
      </c>
      <c r="F26" s="13">
        <v>5</v>
      </c>
      <c r="G26" s="35">
        <f t="shared" si="2"/>
        <v>50</v>
      </c>
      <c r="H26" s="29">
        <f t="shared" si="3"/>
        <v>3.4818941504178275E-2</v>
      </c>
    </row>
    <row r="27" spans="3:8">
      <c r="D27" t="s">
        <v>60</v>
      </c>
      <c r="E27" s="10">
        <v>5</v>
      </c>
      <c r="F27" s="13">
        <v>20</v>
      </c>
      <c r="G27" s="35">
        <f t="shared" si="2"/>
        <v>100</v>
      </c>
      <c r="H27" s="29">
        <f t="shared" si="3"/>
        <v>6.9637883008356549E-2</v>
      </c>
    </row>
    <row r="28" spans="3:8">
      <c r="C28" s="5" t="s">
        <v>61</v>
      </c>
      <c r="D28" s="5"/>
      <c r="E28" s="5"/>
      <c r="F28" s="5"/>
      <c r="G28" s="33">
        <f>SUM(G29:G44)</f>
        <v>1699</v>
      </c>
      <c r="H28" s="34">
        <f>G28/G$4</f>
        <v>0.24000565051560954</v>
      </c>
    </row>
    <row r="29" spans="3:8">
      <c r="D29" t="s">
        <v>62</v>
      </c>
      <c r="E29" s="10">
        <v>1</v>
      </c>
      <c r="F29" s="13">
        <v>125</v>
      </c>
      <c r="G29" s="35">
        <f t="shared" ref="G29:G44" si="4">E29*F29</f>
        <v>125</v>
      </c>
      <c r="H29" s="29">
        <f>G29/G$28</f>
        <v>7.3572689817539727E-2</v>
      </c>
    </row>
    <row r="30" spans="3:8">
      <c r="D30" t="s">
        <v>63</v>
      </c>
      <c r="E30" s="10">
        <v>7</v>
      </c>
      <c r="F30" s="13">
        <v>20</v>
      </c>
      <c r="G30" s="35">
        <f t="shared" si="4"/>
        <v>140</v>
      </c>
      <c r="H30" s="29">
        <f>G30/G$28</f>
        <v>8.2401412595644499E-2</v>
      </c>
    </row>
    <row r="31" spans="3:8">
      <c r="D31" t="s">
        <v>64</v>
      </c>
      <c r="E31" s="19">
        <f>ROUNDUP(Kalkulation!D21/2,0)</f>
        <v>10</v>
      </c>
      <c r="F31" s="13">
        <v>10</v>
      </c>
      <c r="G31" s="35">
        <f t="shared" si="4"/>
        <v>100</v>
      </c>
      <c r="H31" s="29">
        <f>G31/G$16</f>
        <v>6.9637883008356549E-2</v>
      </c>
    </row>
    <row r="32" spans="3:8">
      <c r="D32" t="s">
        <v>65</v>
      </c>
      <c r="E32" s="19">
        <f>Kalkulation!D20</f>
        <v>12</v>
      </c>
      <c r="F32" s="13">
        <v>2</v>
      </c>
      <c r="G32" s="35">
        <f t="shared" si="4"/>
        <v>24</v>
      </c>
      <c r="H32" s="29">
        <f>G32/G$16</f>
        <v>1.6713091922005572E-2</v>
      </c>
    </row>
    <row r="33" spans="3:8">
      <c r="D33" t="s">
        <v>66</v>
      </c>
      <c r="E33" s="19">
        <f>ROUNDUP(Kalkulation!D21/2,0)</f>
        <v>10</v>
      </c>
      <c r="F33" s="13">
        <v>7</v>
      </c>
      <c r="G33" s="35">
        <f t="shared" si="4"/>
        <v>70</v>
      </c>
      <c r="H33" s="29">
        <f>G33/G$16</f>
        <v>4.8746518105849582E-2</v>
      </c>
    </row>
    <row r="34" spans="3:8">
      <c r="C34" t="s">
        <v>67</v>
      </c>
      <c r="D34" t="s">
        <v>68</v>
      </c>
      <c r="E34" s="10">
        <v>1</v>
      </c>
      <c r="F34" s="13">
        <v>100</v>
      </c>
      <c r="G34" s="35">
        <f t="shared" si="4"/>
        <v>100</v>
      </c>
      <c r="H34" s="29">
        <f>G34/G$5</f>
        <v>0.11299435028248588</v>
      </c>
    </row>
    <row r="35" spans="3:8">
      <c r="C35" t="s">
        <v>67</v>
      </c>
      <c r="D35" t="s">
        <v>69</v>
      </c>
      <c r="E35" s="19">
        <f>Kalkulation!$D$14</f>
        <v>18</v>
      </c>
      <c r="F35" s="13">
        <v>25</v>
      </c>
      <c r="G35" s="35">
        <f t="shared" si="4"/>
        <v>450</v>
      </c>
      <c r="H35" s="29">
        <f>G35/G$5</f>
        <v>0.50847457627118642</v>
      </c>
    </row>
    <row r="36" spans="3:8">
      <c r="C36" t="s">
        <v>54</v>
      </c>
      <c r="D36" t="s">
        <v>70</v>
      </c>
      <c r="E36" s="10">
        <v>1</v>
      </c>
      <c r="F36" s="13">
        <v>75</v>
      </c>
      <c r="G36" s="35">
        <f t="shared" si="4"/>
        <v>75</v>
      </c>
      <c r="H36" s="29">
        <f t="shared" ref="H36:H44" si="5">G36/G$28</f>
        <v>4.414361389052384E-2</v>
      </c>
    </row>
    <row r="37" spans="3:8">
      <c r="D37" t="s">
        <v>71</v>
      </c>
      <c r="E37" s="10">
        <v>1</v>
      </c>
      <c r="F37" s="13">
        <v>50</v>
      </c>
      <c r="G37" s="35">
        <f t="shared" si="4"/>
        <v>50</v>
      </c>
      <c r="H37" s="29">
        <f t="shared" si="5"/>
        <v>2.942907592701589E-2</v>
      </c>
    </row>
    <row r="38" spans="3:8">
      <c r="C38" t="s">
        <v>54</v>
      </c>
      <c r="D38" t="s">
        <v>72</v>
      </c>
      <c r="E38" s="10">
        <v>1</v>
      </c>
      <c r="F38" s="13">
        <v>50</v>
      </c>
      <c r="G38" s="35">
        <f t="shared" si="4"/>
        <v>50</v>
      </c>
      <c r="H38" s="29">
        <f t="shared" si="5"/>
        <v>2.942907592701589E-2</v>
      </c>
    </row>
    <row r="39" spans="3:8">
      <c r="D39" t="s">
        <v>119</v>
      </c>
      <c r="E39" s="10">
        <v>1</v>
      </c>
      <c r="F39" s="13">
        <v>60</v>
      </c>
      <c r="G39" s="35">
        <f t="shared" si="4"/>
        <v>60</v>
      </c>
      <c r="H39" s="29">
        <f t="shared" si="5"/>
        <v>3.5314891112419068E-2</v>
      </c>
    </row>
    <row r="40" spans="3:8">
      <c r="D40" t="s">
        <v>73</v>
      </c>
      <c r="E40" s="10">
        <v>1</v>
      </c>
      <c r="F40" s="13">
        <v>150</v>
      </c>
      <c r="G40" s="35">
        <f t="shared" si="4"/>
        <v>150</v>
      </c>
      <c r="H40" s="29">
        <f t="shared" si="5"/>
        <v>8.8287227781047681E-2</v>
      </c>
    </row>
    <row r="41" spans="3:8">
      <c r="C41" t="s">
        <v>54</v>
      </c>
      <c r="D41" t="s">
        <v>120</v>
      </c>
      <c r="E41" s="10">
        <v>1</v>
      </c>
      <c r="F41" s="13">
        <v>75</v>
      </c>
      <c r="G41" s="35">
        <f t="shared" si="4"/>
        <v>75</v>
      </c>
      <c r="H41" s="29">
        <f t="shared" si="5"/>
        <v>4.414361389052384E-2</v>
      </c>
    </row>
    <row r="42" spans="3:8">
      <c r="C42" t="s">
        <v>121</v>
      </c>
      <c r="D42" t="s">
        <v>122</v>
      </c>
      <c r="E42" s="10">
        <v>3</v>
      </c>
      <c r="F42" s="13">
        <v>50</v>
      </c>
      <c r="G42" s="35">
        <f t="shared" si="4"/>
        <v>150</v>
      </c>
      <c r="H42" s="29">
        <f t="shared" si="5"/>
        <v>8.8287227781047681E-2</v>
      </c>
    </row>
    <row r="43" spans="3:8">
      <c r="D43" t="s">
        <v>123</v>
      </c>
      <c r="E43" s="10">
        <v>1</v>
      </c>
      <c r="F43" s="13">
        <v>50</v>
      </c>
      <c r="G43" s="35">
        <f t="shared" si="4"/>
        <v>50</v>
      </c>
      <c r="H43" s="29">
        <f t="shared" si="5"/>
        <v>2.942907592701589E-2</v>
      </c>
    </row>
    <row r="44" spans="3:8">
      <c r="D44" t="s">
        <v>124</v>
      </c>
      <c r="E44" s="10">
        <v>1</v>
      </c>
      <c r="F44" s="13">
        <v>30</v>
      </c>
      <c r="G44" s="35">
        <f t="shared" si="4"/>
        <v>30</v>
      </c>
      <c r="H44" s="29">
        <f t="shared" si="5"/>
        <v>1.7657445556209534E-2</v>
      </c>
    </row>
    <row r="45" spans="3:8">
      <c r="C45" s="5" t="s">
        <v>74</v>
      </c>
      <c r="D45" s="5"/>
      <c r="E45" s="5"/>
      <c r="F45" s="5"/>
      <c r="G45" s="33">
        <f>SUM(G46:G47)</f>
        <v>3059</v>
      </c>
      <c r="H45" s="34">
        <f>G45/G$4</f>
        <v>0.4321231812402882</v>
      </c>
    </row>
    <row r="46" spans="3:8">
      <c r="D46" t="s">
        <v>75</v>
      </c>
      <c r="E46" s="36">
        <f>Kalkulation!D18</f>
        <v>3</v>
      </c>
      <c r="F46" s="37">
        <f>F53</f>
        <v>450</v>
      </c>
      <c r="G46" s="35">
        <f>E46*F46</f>
        <v>1350</v>
      </c>
      <c r="H46" s="29">
        <f>G46/G$45</f>
        <v>0.44132069303694016</v>
      </c>
    </row>
    <row r="47" spans="3:8">
      <c r="D47" t="s">
        <v>76</v>
      </c>
      <c r="E47" s="38">
        <v>2</v>
      </c>
      <c r="F47" s="37">
        <f>F51</f>
        <v>854.5</v>
      </c>
      <c r="G47" s="35">
        <f>E47*F47</f>
        <v>1709</v>
      </c>
      <c r="H47" s="29">
        <f>G47/G$45</f>
        <v>0.55867930696305979</v>
      </c>
    </row>
    <row r="49" spans="2:8" ht="15.75">
      <c r="B49" s="1" t="s">
        <v>76</v>
      </c>
    </row>
    <row r="50" spans="2:8">
      <c r="C50" s="5"/>
      <c r="D50" s="5" t="s">
        <v>31</v>
      </c>
      <c r="E50" s="5" t="s">
        <v>8</v>
      </c>
      <c r="F50" s="5" t="s">
        <v>77</v>
      </c>
      <c r="G50" s="5" t="s">
        <v>78</v>
      </c>
      <c r="H50" s="5" t="s">
        <v>34</v>
      </c>
    </row>
    <row r="51" spans="2:8">
      <c r="C51" s="7" t="s">
        <v>35</v>
      </c>
      <c r="D51" s="7"/>
      <c r="E51" s="7"/>
      <c r="F51" s="31">
        <f>F52+F59</f>
        <v>854.5</v>
      </c>
      <c r="G51" s="31">
        <f t="shared" ref="G51:G61" si="6">F51*12</f>
        <v>10254</v>
      </c>
      <c r="H51" s="32">
        <v>1</v>
      </c>
    </row>
    <row r="52" spans="2:8">
      <c r="C52" s="5" t="s">
        <v>36</v>
      </c>
      <c r="D52" s="5"/>
      <c r="E52" s="5"/>
      <c r="F52" s="33">
        <f>SUM(F53:F58)</f>
        <v>692.5</v>
      </c>
      <c r="G52" s="33">
        <f t="shared" si="6"/>
        <v>8310</v>
      </c>
      <c r="H52" s="34">
        <f>G52/G$51</f>
        <v>0.81041544763019313</v>
      </c>
    </row>
    <row r="53" spans="2:8">
      <c r="D53" t="s">
        <v>79</v>
      </c>
      <c r="E53" s="10">
        <v>1</v>
      </c>
      <c r="F53" s="11">
        <f>Kalkulation!E17</f>
        <v>450</v>
      </c>
      <c r="G53" s="35">
        <f t="shared" si="6"/>
        <v>5400</v>
      </c>
      <c r="H53" s="29">
        <f t="shared" ref="H53:H58" si="7">G53/G$52</f>
        <v>0.64981949458483756</v>
      </c>
    </row>
    <row r="54" spans="2:8">
      <c r="D54" t="s">
        <v>80</v>
      </c>
      <c r="E54" s="10">
        <v>1</v>
      </c>
      <c r="F54" s="13">
        <v>150</v>
      </c>
      <c r="G54" s="35">
        <f t="shared" si="6"/>
        <v>1800</v>
      </c>
      <c r="H54" s="29">
        <f t="shared" si="7"/>
        <v>0.21660649819494585</v>
      </c>
    </row>
    <row r="55" spans="2:8">
      <c r="D55" t="s">
        <v>81</v>
      </c>
      <c r="E55" s="10">
        <v>1</v>
      </c>
      <c r="F55" s="13">
        <v>50</v>
      </c>
      <c r="G55" s="35">
        <f t="shared" si="6"/>
        <v>600</v>
      </c>
      <c r="H55" s="29">
        <f t="shared" si="7"/>
        <v>7.2202166064981949E-2</v>
      </c>
    </row>
    <row r="56" spans="2:8">
      <c r="D56" t="s">
        <v>82</v>
      </c>
      <c r="E56" s="10">
        <v>1</v>
      </c>
      <c r="F56" s="13">
        <v>15</v>
      </c>
      <c r="G56" s="35">
        <f t="shared" si="6"/>
        <v>180</v>
      </c>
      <c r="H56" s="29">
        <f t="shared" si="7"/>
        <v>2.1660649819494584E-2</v>
      </c>
    </row>
    <row r="57" spans="2:8">
      <c r="D57" t="s">
        <v>83</v>
      </c>
      <c r="E57" s="10">
        <v>1</v>
      </c>
      <c r="F57" s="13">
        <v>10</v>
      </c>
      <c r="G57" s="35">
        <f t="shared" si="6"/>
        <v>120</v>
      </c>
      <c r="H57" s="29">
        <f t="shared" si="7"/>
        <v>1.444043321299639E-2</v>
      </c>
    </row>
    <row r="58" spans="2:8">
      <c r="D58" t="s">
        <v>84</v>
      </c>
      <c r="E58" s="19">
        <f>Kalkulation!$D$14+Kalkulation!$D$15+5</f>
        <v>35</v>
      </c>
      <c r="F58" s="13">
        <f>0.5*E58</f>
        <v>17.5</v>
      </c>
      <c r="G58" s="35">
        <f t="shared" si="6"/>
        <v>210</v>
      </c>
      <c r="H58" s="29">
        <f t="shared" si="7"/>
        <v>2.5270758122743681E-2</v>
      </c>
    </row>
    <row r="59" spans="2:8">
      <c r="C59" s="5" t="s">
        <v>48</v>
      </c>
      <c r="D59" s="5"/>
      <c r="E59" s="5"/>
      <c r="F59" s="33">
        <f>SUM(F60:F63)</f>
        <v>162</v>
      </c>
      <c r="G59" s="33">
        <f t="shared" si="6"/>
        <v>1944</v>
      </c>
      <c r="H59" s="34">
        <f>G59/G$51</f>
        <v>0.1895845523698069</v>
      </c>
    </row>
    <row r="60" spans="2:8">
      <c r="D60" t="s">
        <v>85</v>
      </c>
      <c r="E60" s="10">
        <v>1</v>
      </c>
      <c r="F60" s="13">
        <v>3</v>
      </c>
      <c r="G60" s="35">
        <f t="shared" si="6"/>
        <v>36</v>
      </c>
      <c r="H60" s="29">
        <f>G60/G$59</f>
        <v>1.8518518518518517E-2</v>
      </c>
    </row>
    <row r="61" spans="2:8">
      <c r="D61" t="s">
        <v>46</v>
      </c>
      <c r="E61" s="10">
        <v>1</v>
      </c>
      <c r="F61" s="13">
        <v>25</v>
      </c>
      <c r="G61" s="35">
        <f t="shared" si="6"/>
        <v>300</v>
      </c>
      <c r="H61" s="29">
        <f>G61/G$52</f>
        <v>3.6101083032490974E-2</v>
      </c>
    </row>
    <row r="62" spans="2:8">
      <c r="C62" t="s">
        <v>86</v>
      </c>
      <c r="D62" t="s">
        <v>87</v>
      </c>
      <c r="E62" s="19">
        <v>1</v>
      </c>
      <c r="F62" s="11">
        <f>ROUNDUP(G62/18,0)</f>
        <v>84</v>
      </c>
      <c r="G62" s="35">
        <f>Einnahmen!G25</f>
        <v>1500</v>
      </c>
      <c r="H62" s="29">
        <f>G62/G$52</f>
        <v>0.18050541516245489</v>
      </c>
    </row>
    <row r="63" spans="2:8">
      <c r="C63" t="s">
        <v>88</v>
      </c>
      <c r="D63" t="s">
        <v>89</v>
      </c>
      <c r="E63" s="10">
        <v>1</v>
      </c>
      <c r="F63" s="13">
        <v>50</v>
      </c>
      <c r="G63" s="35">
        <f>F63*12</f>
        <v>600</v>
      </c>
      <c r="H63" s="29">
        <f>G63/G$59</f>
        <v>0.30864197530864196</v>
      </c>
    </row>
  </sheetData>
  <pageMargins left="0.78740157480314965" right="0.78740157480314965" top="1.0236220472440944" bottom="1.0236220472440944" header="0.78740157480314965" footer="0.78740157480314965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35"/>
  <sheetViews>
    <sheetView zoomScale="120" zoomScaleNormal="120" workbookViewId="0">
      <selection activeCell="G6" sqref="G6"/>
    </sheetView>
  </sheetViews>
  <sheetFormatPr baseColWidth="10" defaultColWidth="11.5703125" defaultRowHeight="12.75"/>
  <cols>
    <col min="1" max="1" width="1.85546875" customWidth="1"/>
    <col min="2" max="2" width="2" customWidth="1"/>
    <col min="3" max="3" width="16.28515625" customWidth="1"/>
    <col min="4" max="4" width="21.5703125" customWidth="1"/>
    <col min="5" max="5" width="7.7109375" customWidth="1"/>
    <col min="7" max="7" width="12.7109375" customWidth="1"/>
    <col min="8" max="8" width="8.85546875" customWidth="1"/>
  </cols>
  <sheetData>
    <row r="1" spans="1:8" ht="15.75">
      <c r="A1" s="1" t="s">
        <v>90</v>
      </c>
    </row>
    <row r="2" spans="1:8" ht="15.75">
      <c r="B2" s="1" t="s">
        <v>91</v>
      </c>
    </row>
    <row r="3" spans="1:8">
      <c r="C3" s="5"/>
      <c r="D3" s="5" t="s">
        <v>31</v>
      </c>
      <c r="E3" s="5" t="s">
        <v>8</v>
      </c>
      <c r="F3" s="5" t="s">
        <v>32</v>
      </c>
      <c r="G3" s="5" t="s">
        <v>33</v>
      </c>
      <c r="H3" s="5" t="s">
        <v>34</v>
      </c>
    </row>
    <row r="4" spans="1:8">
      <c r="C4" s="7" t="s">
        <v>35</v>
      </c>
      <c r="D4" s="7"/>
      <c r="E4" s="7"/>
      <c r="F4" s="7"/>
      <c r="G4" s="31">
        <f>G5+G18+G21+G25</f>
        <v>3641</v>
      </c>
      <c r="H4" s="32">
        <f>G4/G$4</f>
        <v>1</v>
      </c>
    </row>
    <row r="5" spans="1:8">
      <c r="C5" s="5" t="s">
        <v>92</v>
      </c>
      <c r="D5" s="5"/>
      <c r="E5" s="5"/>
      <c r="F5" s="5"/>
      <c r="G5" s="33">
        <f>SUM(G6:G17)</f>
        <v>1041</v>
      </c>
      <c r="H5" s="34">
        <f>G5/G$4</f>
        <v>0.28591046415819832</v>
      </c>
    </row>
    <row r="6" spans="1:8">
      <c r="C6" t="s">
        <v>54</v>
      </c>
      <c r="D6" t="s">
        <v>93</v>
      </c>
      <c r="E6" s="10">
        <v>1</v>
      </c>
      <c r="F6" s="11">
        <f>Ausgaben!F6</f>
        <v>20</v>
      </c>
      <c r="G6" s="35">
        <f t="shared" ref="G6:G16" si="0">E6*F6</f>
        <v>20</v>
      </c>
      <c r="H6" s="29">
        <f t="shared" ref="H6:H16" si="1">G6/G$5</f>
        <v>1.921229586935639E-2</v>
      </c>
    </row>
    <row r="7" spans="1:8">
      <c r="C7" t="s">
        <v>54</v>
      </c>
      <c r="D7" t="s">
        <v>94</v>
      </c>
      <c r="E7" s="10">
        <v>1</v>
      </c>
      <c r="F7" s="11">
        <f>Ausgaben!F11</f>
        <v>50</v>
      </c>
      <c r="G7" s="35">
        <f t="shared" si="0"/>
        <v>50</v>
      </c>
      <c r="H7" s="29">
        <f t="shared" si="1"/>
        <v>4.8030739673390971E-2</v>
      </c>
    </row>
    <row r="8" spans="1:8">
      <c r="D8" t="s">
        <v>95</v>
      </c>
      <c r="E8" s="10">
        <v>1</v>
      </c>
      <c r="F8" s="11">
        <f>Ausgaben!F6</f>
        <v>20</v>
      </c>
      <c r="G8" s="35">
        <f t="shared" si="0"/>
        <v>20</v>
      </c>
      <c r="H8" s="29">
        <f t="shared" si="1"/>
        <v>1.921229586935639E-2</v>
      </c>
    </row>
    <row r="9" spans="1:8">
      <c r="D9" t="s">
        <v>96</v>
      </c>
      <c r="E9" s="10">
        <v>1.5</v>
      </c>
      <c r="F9" s="11">
        <f>Ausgaben!F11</f>
        <v>50</v>
      </c>
      <c r="G9" s="35">
        <f t="shared" si="0"/>
        <v>75</v>
      </c>
      <c r="H9" s="29">
        <f t="shared" si="1"/>
        <v>7.2046109510086456E-2</v>
      </c>
    </row>
    <row r="10" spans="1:8">
      <c r="D10" t="s">
        <v>97</v>
      </c>
      <c r="E10" s="10">
        <v>1</v>
      </c>
      <c r="F10" s="11">
        <f>Ausgaben!F29</f>
        <v>125</v>
      </c>
      <c r="G10" s="35">
        <f t="shared" si="0"/>
        <v>125</v>
      </c>
      <c r="H10" s="29">
        <f t="shared" si="1"/>
        <v>0.12007684918347743</v>
      </c>
    </row>
    <row r="11" spans="1:8">
      <c r="D11" t="s">
        <v>98</v>
      </c>
      <c r="E11" s="10">
        <v>2</v>
      </c>
      <c r="F11" s="11">
        <f>Ausgaben!F7</f>
        <v>40</v>
      </c>
      <c r="G11" s="35">
        <f t="shared" si="0"/>
        <v>80</v>
      </c>
      <c r="H11" s="29">
        <f t="shared" si="1"/>
        <v>7.6849183477425559E-2</v>
      </c>
    </row>
    <row r="12" spans="1:8">
      <c r="D12" t="s">
        <v>99</v>
      </c>
      <c r="E12" s="10">
        <v>1</v>
      </c>
      <c r="F12" s="11">
        <f>Ausgaben!F17</f>
        <v>400</v>
      </c>
      <c r="G12" s="35">
        <f t="shared" si="0"/>
        <v>400</v>
      </c>
      <c r="H12" s="29">
        <f t="shared" si="1"/>
        <v>0.38424591738712777</v>
      </c>
    </row>
    <row r="13" spans="1:8">
      <c r="D13" t="s">
        <v>100</v>
      </c>
      <c r="E13" s="10">
        <v>2</v>
      </c>
      <c r="F13" s="11">
        <f>Ausgaben!F19</f>
        <v>30</v>
      </c>
      <c r="G13" s="35">
        <f t="shared" si="0"/>
        <v>60</v>
      </c>
      <c r="H13" s="29">
        <f t="shared" si="1"/>
        <v>5.7636887608069162E-2</v>
      </c>
    </row>
    <row r="14" spans="1:8">
      <c r="D14" t="s">
        <v>101</v>
      </c>
      <c r="E14" s="10">
        <v>5</v>
      </c>
      <c r="F14" s="11">
        <f>Ausgaben!F18</f>
        <v>3</v>
      </c>
      <c r="G14" s="35">
        <f t="shared" si="0"/>
        <v>15</v>
      </c>
      <c r="H14" s="29">
        <f t="shared" si="1"/>
        <v>1.4409221902017291E-2</v>
      </c>
    </row>
    <row r="15" spans="1:8">
      <c r="D15" t="s">
        <v>102</v>
      </c>
      <c r="E15" s="10">
        <v>1</v>
      </c>
      <c r="F15" s="11">
        <f>Ausgaben!F10</f>
        <v>50</v>
      </c>
      <c r="G15" s="35">
        <f t="shared" si="0"/>
        <v>50</v>
      </c>
      <c r="H15" s="29">
        <f t="shared" si="1"/>
        <v>4.8030739673390971E-2</v>
      </c>
    </row>
    <row r="16" spans="1:8">
      <c r="D16" t="s">
        <v>103</v>
      </c>
      <c r="E16" s="10">
        <v>4</v>
      </c>
      <c r="F16" s="11">
        <f>Ausgaben!F31+Ausgaben!F33+Ausgaben!F32</f>
        <v>19</v>
      </c>
      <c r="G16" s="35">
        <f t="shared" si="0"/>
        <v>76</v>
      </c>
      <c r="H16" s="29">
        <f t="shared" si="1"/>
        <v>7.3006724303554274E-2</v>
      </c>
    </row>
    <row r="17" spans="2:8">
      <c r="C17" t="s">
        <v>54</v>
      </c>
      <c r="D17" t="s">
        <v>126</v>
      </c>
      <c r="E17" s="10">
        <v>2</v>
      </c>
      <c r="F17" s="11">
        <f>Ausgaben!F24</f>
        <v>35</v>
      </c>
      <c r="G17" s="35">
        <f t="shared" ref="G17" si="2">E17*F17</f>
        <v>70</v>
      </c>
      <c r="H17" s="29">
        <f t="shared" ref="H17" si="3">G17/G$5</f>
        <v>6.7243035542747354E-2</v>
      </c>
    </row>
    <row r="18" spans="2:8">
      <c r="C18" s="5" t="s">
        <v>104</v>
      </c>
      <c r="D18" s="5"/>
      <c r="E18" s="5"/>
      <c r="F18" s="5"/>
      <c r="G18" s="33">
        <f>SUM(G19:G20)</f>
        <v>800</v>
      </c>
      <c r="H18" s="34">
        <f>G18/G$4</f>
        <v>0.21971985718209283</v>
      </c>
    </row>
    <row r="19" spans="2:8">
      <c r="D19" t="s">
        <v>105</v>
      </c>
      <c r="E19" s="10">
        <v>1</v>
      </c>
      <c r="F19" s="13">
        <v>500</v>
      </c>
      <c r="G19" s="35">
        <f>E19*F19</f>
        <v>500</v>
      </c>
      <c r="H19" s="29">
        <f>G19/G$18</f>
        <v>0.625</v>
      </c>
    </row>
    <row r="20" spans="2:8">
      <c r="D20" t="s">
        <v>106</v>
      </c>
      <c r="E20" s="10">
        <v>1</v>
      </c>
      <c r="F20" s="13">
        <v>300</v>
      </c>
      <c r="G20" s="35">
        <f>E20*F20</f>
        <v>300</v>
      </c>
      <c r="H20" s="29">
        <f>G20/G$18</f>
        <v>0.375</v>
      </c>
    </row>
    <row r="21" spans="2:8">
      <c r="C21" s="5" t="s">
        <v>107</v>
      </c>
      <c r="D21" s="5"/>
      <c r="E21" s="5"/>
      <c r="F21" s="5"/>
      <c r="G21" s="33">
        <f>SUM(G22)</f>
        <v>300</v>
      </c>
      <c r="H21" s="34">
        <f>G21/G$4</f>
        <v>8.2394946443284808E-2</v>
      </c>
    </row>
    <row r="22" spans="2:8">
      <c r="C22" t="s">
        <v>54</v>
      </c>
      <c r="D22" t="s">
        <v>108</v>
      </c>
      <c r="E22" s="10">
        <v>1</v>
      </c>
      <c r="F22" s="11">
        <f>Ausgaben!F22</f>
        <v>300</v>
      </c>
      <c r="G22" s="35">
        <f>E22*F22</f>
        <v>300</v>
      </c>
      <c r="H22" s="29">
        <f>G22/G$18</f>
        <v>0.375</v>
      </c>
    </row>
    <row r="23" spans="2:8">
      <c r="D23" t="s">
        <v>109</v>
      </c>
      <c r="E23" s="10">
        <v>1</v>
      </c>
      <c r="F23" s="11">
        <f>Ausgaben!F38</f>
        <v>50</v>
      </c>
      <c r="G23" s="35">
        <f>E23*F23</f>
        <v>50</v>
      </c>
      <c r="H23" s="29">
        <f>G23/G$18</f>
        <v>6.25E-2</v>
      </c>
    </row>
    <row r="24" spans="2:8">
      <c r="D24" t="s">
        <v>110</v>
      </c>
      <c r="E24" s="10">
        <v>1</v>
      </c>
      <c r="F24" s="11">
        <f>Ausgaben!F19</f>
        <v>30</v>
      </c>
      <c r="G24" s="35">
        <f>E24*F24</f>
        <v>30</v>
      </c>
      <c r="H24" s="29">
        <f>G24/G$18</f>
        <v>3.7499999999999999E-2</v>
      </c>
    </row>
    <row r="25" spans="2:8">
      <c r="C25" s="5" t="s">
        <v>111</v>
      </c>
      <c r="D25" s="5"/>
      <c r="E25" s="5"/>
      <c r="F25" s="5"/>
      <c r="G25" s="33">
        <f>SUM(G26)</f>
        <v>1500</v>
      </c>
      <c r="H25" s="34">
        <f>G25/G$4</f>
        <v>0.41197473221642406</v>
      </c>
    </row>
    <row r="26" spans="2:8">
      <c r="D26" t="s">
        <v>112</v>
      </c>
      <c r="E26" s="10">
        <v>1</v>
      </c>
      <c r="F26" s="13">
        <v>1500</v>
      </c>
      <c r="G26" s="35">
        <f>E26*F26</f>
        <v>1500</v>
      </c>
      <c r="H26" s="29">
        <f>G26/G$25</f>
        <v>1</v>
      </c>
    </row>
    <row r="27" spans="2:8">
      <c r="D27" s="39"/>
      <c r="E27" s="39"/>
      <c r="F27" s="39"/>
      <c r="G27" s="40"/>
      <c r="H27" s="41"/>
    </row>
    <row r="28" spans="2:8" ht="15.75">
      <c r="B28" s="1" t="s">
        <v>113</v>
      </c>
    </row>
    <row r="29" spans="2:8">
      <c r="C29" s="5"/>
      <c r="D29" s="5" t="s">
        <v>31</v>
      </c>
      <c r="E29" s="5" t="s">
        <v>8</v>
      </c>
      <c r="F29" s="5" t="s">
        <v>77</v>
      </c>
      <c r="G29" s="5" t="s">
        <v>78</v>
      </c>
      <c r="H29" s="5" t="s">
        <v>34</v>
      </c>
    </row>
    <row r="30" spans="2:8">
      <c r="C30" s="7" t="s">
        <v>35</v>
      </c>
      <c r="D30" s="7"/>
      <c r="E30" s="7"/>
      <c r="F30" s="31">
        <f>F31+F33</f>
        <v>939</v>
      </c>
      <c r="G30" s="31">
        <f>G31+G33</f>
        <v>11268</v>
      </c>
      <c r="H30" s="32">
        <f>G30/G$30</f>
        <v>1</v>
      </c>
    </row>
    <row r="31" spans="2:8">
      <c r="C31" s="5" t="s">
        <v>114</v>
      </c>
      <c r="D31" s="5"/>
      <c r="E31" s="5"/>
      <c r="F31" s="33">
        <f>F32</f>
        <v>3</v>
      </c>
      <c r="G31" s="33">
        <f>F31*12</f>
        <v>36</v>
      </c>
      <c r="H31" s="34">
        <f>G31/G$30</f>
        <v>3.1948881789137379E-3</v>
      </c>
    </row>
    <row r="32" spans="2:8">
      <c r="D32" t="s">
        <v>115</v>
      </c>
      <c r="E32" s="10">
        <v>12</v>
      </c>
      <c r="F32" s="37">
        <f>Ausgaben!F60</f>
        <v>3</v>
      </c>
      <c r="G32" s="35">
        <f>F32*12</f>
        <v>36</v>
      </c>
      <c r="H32" s="29">
        <f>G31/G$32</f>
        <v>1</v>
      </c>
    </row>
    <row r="33" spans="3:8">
      <c r="C33" s="5" t="s">
        <v>116</v>
      </c>
      <c r="D33" s="5"/>
      <c r="E33" s="5"/>
      <c r="F33" s="33">
        <f>SUM(F34:F35)</f>
        <v>936</v>
      </c>
      <c r="G33" s="33">
        <f>F33*12</f>
        <v>11232</v>
      </c>
      <c r="H33" s="34">
        <f>G33/G$30</f>
        <v>0.99680511182108622</v>
      </c>
    </row>
    <row r="34" spans="3:8">
      <c r="D34" t="s">
        <v>117</v>
      </c>
      <c r="E34" s="19">
        <f>Kalkulation!D14</f>
        <v>18</v>
      </c>
      <c r="F34" s="37">
        <f>Kalkulation!E14*E34</f>
        <v>792</v>
      </c>
      <c r="G34" s="35">
        <f>F34*12</f>
        <v>9504</v>
      </c>
      <c r="H34" s="29">
        <f>G34/G$33</f>
        <v>0.84615384615384615</v>
      </c>
    </row>
    <row r="35" spans="3:8">
      <c r="D35" t="s">
        <v>118</v>
      </c>
      <c r="E35" s="19">
        <f>Kalkulation!D15</f>
        <v>12</v>
      </c>
      <c r="F35" s="37">
        <f>Kalkulation!D15*E35</f>
        <v>144</v>
      </c>
      <c r="G35" s="35">
        <f>F35*12</f>
        <v>1728</v>
      </c>
      <c r="H35" s="29">
        <f>G35/G$33</f>
        <v>0.15384615384615385</v>
      </c>
    </row>
  </sheetData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Kalkulation</vt:lpstr>
      <vt:lpstr>Ausgaben</vt:lpstr>
      <vt:lpstr>Einnahmen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Stephan Schmieder</cp:lastModifiedBy>
  <cp:lastPrinted>2007-12-14T00:09:26Z</cp:lastPrinted>
  <dcterms:created xsi:type="dcterms:W3CDTF">2007-12-05T17:50:11Z</dcterms:created>
  <dcterms:modified xsi:type="dcterms:W3CDTF">2007-12-14T00:09:32Z</dcterms:modified>
</cp:coreProperties>
</file>