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38240" windowHeight="21920" tabRatio="469"/>
  </bookViews>
  <sheets>
    <sheet name="Kalkulation" sheetId="1" r:id="rId1"/>
    <sheet name="Raumvergleich" sheetId="5" r:id="rId2"/>
    <sheet name="Ausgaben" sheetId="2" r:id="rId3"/>
    <sheet name="Einnahmen" sheetId="3" r:id="rId4"/>
  </sheets>
  <definedNames>
    <definedName name="_xlnm._FilterDatabase" localSheetId="1" hidden="1">Raumvergleich!$A$6:$A$37</definedName>
    <definedName name="_xlnm.Criteria" localSheetId="1">Raumvergleich!$C$6:$CCC$37</definedName>
  </definedName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7" i="2"/>
  <c r="F64"/>
  <c r="G64"/>
  <c r="H67"/>
  <c r="G66"/>
  <c r="G65"/>
  <c r="H65"/>
  <c r="E63"/>
  <c r="F63"/>
  <c r="G63"/>
  <c r="G61"/>
  <c r="G60"/>
  <c r="G59"/>
  <c r="G58"/>
  <c r="G48"/>
  <c r="G29"/>
  <c r="G30"/>
  <c r="G31"/>
  <c r="E32"/>
  <c r="G32"/>
  <c r="E33"/>
  <c r="G33"/>
  <c r="E34"/>
  <c r="G34"/>
  <c r="G35"/>
  <c r="E36"/>
  <c r="G36"/>
  <c r="G37"/>
  <c r="G38"/>
  <c r="G39"/>
  <c r="G40"/>
  <c r="G41"/>
  <c r="G42"/>
  <c r="G43"/>
  <c r="G44"/>
  <c r="G45"/>
  <c r="G46"/>
  <c r="G47"/>
  <c r="G28"/>
  <c r="H48"/>
  <c r="H47"/>
  <c r="H46"/>
  <c r="H45"/>
  <c r="H44"/>
  <c r="H43"/>
  <c r="H42"/>
  <c r="H41"/>
  <c r="H40"/>
  <c r="H39"/>
  <c r="H38"/>
  <c r="H37"/>
  <c r="E6"/>
  <c r="G6"/>
  <c r="G7"/>
  <c r="G8"/>
  <c r="G9"/>
  <c r="G10"/>
  <c r="G11"/>
  <c r="G12"/>
  <c r="G13"/>
  <c r="G14"/>
  <c r="G15"/>
  <c r="G5"/>
  <c r="H36"/>
  <c r="H35"/>
  <c r="G17"/>
  <c r="G18"/>
  <c r="G19"/>
  <c r="G20"/>
  <c r="G21"/>
  <c r="G22"/>
  <c r="G23"/>
  <c r="E24"/>
  <c r="G24"/>
  <c r="E25"/>
  <c r="G25"/>
  <c r="G26"/>
  <c r="G27"/>
  <c r="G16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4"/>
  <c r="H13"/>
  <c r="H12"/>
  <c r="H11"/>
  <c r="H10"/>
  <c r="H9"/>
  <c r="H8"/>
  <c r="H7"/>
  <c r="H6"/>
  <c r="E62"/>
  <c r="F62"/>
  <c r="G62"/>
  <c r="E50"/>
  <c r="F57"/>
  <c r="F50"/>
  <c r="G50"/>
  <c r="F56"/>
  <c r="F55"/>
  <c r="F51"/>
  <c r="G51"/>
  <c r="G49"/>
  <c r="G4"/>
  <c r="H5"/>
  <c r="H16"/>
  <c r="H28"/>
  <c r="H49"/>
  <c r="H50"/>
  <c r="H51"/>
  <c r="G56"/>
  <c r="G55"/>
  <c r="H56"/>
  <c r="G57"/>
  <c r="H57"/>
  <c r="H58"/>
  <c r="H59"/>
  <c r="H60"/>
  <c r="H61"/>
  <c r="H62"/>
  <c r="H63"/>
  <c r="H64"/>
  <c r="H66"/>
  <c r="G4" i="3"/>
  <c r="F37"/>
  <c r="G37"/>
  <c r="E36"/>
  <c r="F36"/>
  <c r="G36"/>
  <c r="G35"/>
  <c r="H37"/>
  <c r="E37"/>
  <c r="H36"/>
  <c r="F31"/>
  <c r="G31"/>
  <c r="F33"/>
  <c r="G33"/>
  <c r="G32"/>
  <c r="E34"/>
  <c r="F34"/>
  <c r="G34"/>
  <c r="G30"/>
  <c r="G29"/>
  <c r="H35"/>
  <c r="F35"/>
  <c r="H34"/>
  <c r="H33"/>
  <c r="H32"/>
  <c r="H31"/>
  <c r="H30"/>
  <c r="F30"/>
  <c r="H29"/>
  <c r="F29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G5"/>
  <c r="F23"/>
  <c r="G23"/>
  <c r="F24"/>
  <c r="G24"/>
  <c r="F25"/>
  <c r="G25"/>
  <c r="G22"/>
  <c r="G20"/>
  <c r="G21"/>
  <c r="G1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34" i="1"/>
  <c r="E34"/>
  <c r="F33"/>
  <c r="E33"/>
  <c r="D27"/>
  <c r="F31"/>
  <c r="D31"/>
  <c r="F30"/>
  <c r="D30"/>
  <c r="E28"/>
  <c r="E27"/>
  <c r="D28"/>
  <c r="F27"/>
  <c r="F26"/>
  <c r="E22"/>
  <c r="D22"/>
  <c r="E21"/>
  <c r="E20"/>
  <c r="E15"/>
  <c r="E14"/>
  <c r="E13"/>
  <c r="E16"/>
  <c r="E17"/>
  <c r="E19"/>
  <c r="E18"/>
  <c r="E15" i="5"/>
  <c r="D15"/>
  <c r="C1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<sst xmlns="http://schemas.openxmlformats.org/spreadsheetml/2006/main" count="373" uniqueCount="249">
  <si>
    <t>Switch von DaN</t>
  </si>
  <si>
    <t xml:space="preserve">Netzwerkkabel von DaN </t>
  </si>
  <si>
    <t>AP von schneider</t>
  </si>
  <si>
    <t>Geschirr von sva</t>
  </si>
  <si>
    <t>Geldspenden</t>
  </si>
  <si>
    <t>Strasse / HN</t>
  </si>
  <si>
    <t>Lindwurmstr. 74</t>
  </si>
  <si>
    <t xml:space="preserve">Schwanthalerstr. 60
</t>
  </si>
  <si>
    <t>Blumestr. 28</t>
  </si>
  <si>
    <t>Tisch</t>
  </si>
  <si>
    <t>Schränke/Regale</t>
  </si>
  <si>
    <t>Ballotage Murmeln</t>
  </si>
  <si>
    <t>Kleinkrams Prio 1</t>
  </si>
  <si>
    <t>Diverse Werkzeuge, Prio1</t>
  </si>
  <si>
    <t>Prio 2</t>
  </si>
  <si>
    <t>Server</t>
  </si>
  <si>
    <t>Netzwerkkabel</t>
  </si>
  <si>
    <t>Switch</t>
  </si>
  <si>
    <t>Kaffeemaschine</t>
  </si>
  <si>
    <t>Wasserkocher</t>
  </si>
  <si>
    <t>Evtl.</t>
  </si>
  <si>
    <t>Beamer</t>
  </si>
  <si>
    <t>Leinwand</t>
  </si>
  <si>
    <t>Bürostühle</t>
  </si>
  <si>
    <t>Tassen/Gläser</t>
  </si>
  <si>
    <t>Stromkabel</t>
  </si>
  <si>
    <t>Diverse Werkzeuge, Prio2</t>
  </si>
  <si>
    <t>Prio 3</t>
  </si>
  <si>
    <t>Gebr. Kühlschrank</t>
  </si>
  <si>
    <t>Diverse Werkzeuge, Prio 3</t>
  </si>
  <si>
    <t>Besteck</t>
  </si>
  <si>
    <t>Gläser</t>
  </si>
  <si>
    <t>Teller</t>
  </si>
  <si>
    <t xml:space="preserve"> Helle Büro-Praxis-Ladenräume Nh. U5 Laimer Pl.</t>
  </si>
  <si>
    <t>Lager Brudermühlstr.</t>
  </si>
  <si>
    <t>PLZ</t>
  </si>
  <si>
    <t>Tatsächlich eintreffende Spenden</t>
  </si>
  <si>
    <t>Kaltmiete</t>
    <phoneticPr fontId="5" type="noConversion"/>
  </si>
  <si>
    <t>Kaution/Provision</t>
    <phoneticPr fontId="5" type="noConversion"/>
  </si>
  <si>
    <t>Gesamt</t>
  </si>
  <si>
    <t>Prio 1</t>
  </si>
  <si>
    <t>(Pfaffenhofen)</t>
  </si>
  <si>
    <t>Altes Sofa</t>
  </si>
  <si>
    <t>Beleuchtung</t>
  </si>
  <si>
    <t>Putzkram</t>
  </si>
  <si>
    <t>Mülleimer</t>
  </si>
  <si>
    <t>Wlan AP</t>
  </si>
  <si>
    <t>Zuschuss CCC e.V.</t>
    <phoneticPr fontId="5" type="noConversion"/>
  </si>
  <si>
    <t>Einnahmen</t>
    <phoneticPr fontId="5" type="noConversion"/>
  </si>
  <si>
    <t>monatliche Umsätze</t>
    <phoneticPr fontId="5" type="noConversion"/>
  </si>
  <si>
    <t>Ausgaben</t>
    <phoneticPr fontId="5" type="noConversion"/>
  </si>
  <si>
    <t>Chaos Computer Club</t>
  </si>
  <si>
    <t>Legende:</t>
  </si>
  <si>
    <t>Lage</t>
  </si>
  <si>
    <t>Basics</t>
  </si>
  <si>
    <t>Subjektives</t>
  </si>
  <si>
    <t>München e.V.</t>
  </si>
  <si>
    <t>Wichtung</t>
  </si>
  <si>
    <t>1- relativ egal</t>
  </si>
  <si>
    <t>2 - weniger wichtig</t>
  </si>
  <si>
    <t>3- normal</t>
  </si>
  <si>
    <t>4- wichtig</t>
  </si>
  <si>
    <t>5- kritisch</t>
  </si>
  <si>
    <t>Bewertung:</t>
  </si>
  <si>
    <t>1- miserabel</t>
  </si>
  <si>
    <t>2- schlecht</t>
  </si>
  <si>
    <t>4- gut</t>
  </si>
  <si>
    <t>5- perfekt</t>
  </si>
  <si>
    <t>Kriterium</t>
  </si>
  <si>
    <t>Big Picture - 24 Monate Kapsel</t>
    <phoneticPr fontId="5" type="noConversion"/>
  </si>
  <si>
    <t>2-Zimmer-Büro MITTERSENDLING-Passauer Straße</t>
    <phoneticPr fontId="5" type="noConversion"/>
  </si>
  <si>
    <t>Mitgliedsbeiräge</t>
  </si>
  <si>
    <t>Chaosförderung</t>
  </si>
  <si>
    <t>Regulär</t>
  </si>
  <si>
    <t>Grill</t>
  </si>
  <si>
    <t>Hollywoodschaukel</t>
  </si>
  <si>
    <t>GSD-Gmbh.de</t>
  </si>
  <si>
    <t>2nd Hand LCDs</t>
  </si>
  <si>
    <t>co2 Feuerlöscher</t>
  </si>
  <si>
    <t>Verbandskasen</t>
  </si>
  <si>
    <t>Sitzsäcke von Codec</t>
  </si>
  <si>
    <t>Whiteboard+Zubehör</t>
  </si>
  <si>
    <t>Dymo Labelmaker + Bänder</t>
  </si>
  <si>
    <t>"Notaus"-Schalter USB?)</t>
  </si>
  <si>
    <t>DSL von k</t>
    <phoneticPr fontId="5" type="noConversion"/>
  </si>
  <si>
    <t>Geschirrspüler von k</t>
    <phoneticPr fontId="5" type="noConversion"/>
  </si>
  <si>
    <t>Beträge</t>
    <phoneticPr fontId="5" type="noConversion"/>
  </si>
  <si>
    <t>Gebr. Geschirrspüler</t>
    <phoneticPr fontId="5" type="noConversion"/>
  </si>
  <si>
    <t>Eingabefelder sind blassgrün hinterlegt:</t>
  </si>
  <si>
    <t>Ausgaben</t>
  </si>
  <si>
    <t>Initialzündung und Anschaffung</t>
  </si>
  <si>
    <t>Item</t>
  </si>
  <si>
    <t>Einzelpreis</t>
  </si>
  <si>
    <t>Gesamtpreis</t>
  </si>
  <si>
    <t>Anteil</t>
  </si>
  <si>
    <t>Kontostand nach 24 Monaten Kapsel ohne Verpeilfakor</t>
    <phoneticPr fontId="5" type="noConversion"/>
  </si>
  <si>
    <t>Einnahmen ohne Verpeilfaktor</t>
    <phoneticPr fontId="5" type="noConversion"/>
  </si>
  <si>
    <t>inkl. Initialzündungsspenden</t>
    <phoneticPr fontId="5" type="noConversion"/>
  </si>
  <si>
    <t>Einnahmen ohne Verpeilfaktor</t>
    <phoneticPr fontId="5" type="noConversion"/>
  </si>
  <si>
    <t>Verpeilfaktor</t>
    <phoneticPr fontId="5" type="noConversion"/>
  </si>
  <si>
    <t>ohne Initialzündungskosten</t>
    <phoneticPr fontId="5" type="noConversion"/>
  </si>
  <si>
    <t>Im Monat</t>
  </si>
  <si>
    <t>Im Jahr</t>
  </si>
  <si>
    <t>Miete</t>
  </si>
  <si>
    <t>Heizung, Strom, Wasser</t>
  </si>
  <si>
    <t>DSL</t>
  </si>
  <si>
    <t>Versicherungen</t>
  </si>
  <si>
    <t>Kontoführungsgebühren</t>
  </si>
  <si>
    <t>Bank-Gebühr pro Überweisung</t>
  </si>
  <si>
    <t>Domain</t>
  </si>
  <si>
    <t xml:space="preserve"> </t>
  </si>
  <si>
    <t>Instandhaltung</t>
  </si>
  <si>
    <t>Einnahmen</t>
  </si>
  <si>
    <t>Einmalig</t>
  </si>
  <si>
    <t>Sachspenden</t>
  </si>
  <si>
    <t>Sofa von Zaphod</t>
  </si>
  <si>
    <t>Tisch von Zaphod</t>
  </si>
  <si>
    <t>Sofa von DaN</t>
  </si>
  <si>
    <t>Tisch von DaN</t>
  </si>
  <si>
    <t>Kühlschrank von DaN</t>
  </si>
  <si>
    <t>Lampe von DaN</t>
  </si>
  <si>
    <t>Server von DaN</t>
  </si>
  <si>
    <t>bei ausbleibenden Zuwachs</t>
    <phoneticPr fontId="5" type="noConversion"/>
  </si>
  <si>
    <t>inkl. Initialzündungskosten</t>
    <phoneticPr fontId="5" type="noConversion"/>
  </si>
  <si>
    <t>h07.org</t>
  </si>
  <si>
    <t>pro Tag verkaufte Getränke</t>
    <phoneticPr fontId="5" type="noConversion"/>
  </si>
  <si>
    <t>Schuppen Lindwurmstr</t>
    <phoneticPr fontId="5" type="noConversion"/>
  </si>
  <si>
    <t>Schillerstr. 34</t>
  </si>
  <si>
    <t>Bunker in Riem</t>
  </si>
  <si>
    <t xml:space="preserve">M-Pasing: Atelier, </t>
  </si>
  <si>
    <t xml:space="preserve"> Einfache Räume ab 52 m², 26 m², 78 m² ... für ca. 1,5 Jahre</t>
  </si>
  <si>
    <t>Ansprech. 2-Zi.-Büro, 60 m2, (ID: 4948437)</t>
  </si>
  <si>
    <t xml:space="preserve">Ruhige Gewerbeeinheit, gute Lage an der Lindwurmstrasse </t>
  </si>
  <si>
    <t xml:space="preserve"> Nettes 2-Zimmer-Büro in München-Olympiadorf </t>
  </si>
  <si>
    <t>Atelier, Studio, Büro in München-Pasing</t>
  </si>
  <si>
    <t>ATTN - Link läd grad net =(</t>
  </si>
  <si>
    <t>1-Zimmer-Büro Nähe Giesinger Bahnhof</t>
  </si>
  <si>
    <t>Walter-Bau-AG
Klausenburger Straße 9</t>
  </si>
  <si>
    <t>https://kapsel.muc.ccc.de/liste_potenzieller_raeumlichkeiten?s[]=johann&amp;s[]=graf#neue_balan</t>
  </si>
  <si>
    <t>Ansprechpartnet Intern</t>
  </si>
  <si>
    <t>sva</t>
  </si>
  <si>
    <t>ssc</t>
  </si>
  <si>
    <t>k(erstin)</t>
  </si>
  <si>
    <t>9r</t>
  </si>
  <si>
    <t>unklar</t>
  </si>
  <si>
    <t>martl</t>
  </si>
  <si>
    <t>katja</t>
  </si>
  <si>
    <t>mkie</t>
  </si>
  <si>
    <t>Ansprechpartner Extern</t>
  </si>
  <si>
    <t>unknown</t>
  </si>
  <si>
    <t>Nobert Nusser
ImmoBüro Merkl: 1330813</t>
  </si>
  <si>
    <t>Johann Graf</t>
  </si>
  <si>
    <t>Frau Buchenberger</t>
  </si>
  <si>
    <t>Sven Urban</t>
  </si>
  <si>
    <t>Alexander
Webmann</t>
  </si>
  <si>
    <t>vermietung@pasinger.de</t>
  </si>
  <si>
    <t>Verfgbar ab</t>
  </si>
  <si>
    <t>sofort</t>
  </si>
  <si>
    <t>nicht mehr</t>
  </si>
  <si>
    <t>Mitte 2008</t>
  </si>
  <si>
    <t>an anderen vergeben</t>
  </si>
  <si>
    <t>Status</t>
  </si>
  <si>
    <t>besichtigt</t>
  </si>
  <si>
    <t>informiert</t>
  </si>
  <si>
    <t>angefragt</t>
  </si>
  <si>
    <t>Vermieter mag CCC :-)</t>
  </si>
  <si>
    <t>queued</t>
  </si>
  <si>
    <t>Wiki Eintrag</t>
    <phoneticPr fontId="5" type="noConversion"/>
  </si>
  <si>
    <r>
      <t xml:space="preserve">Das Sheet </t>
    </r>
    <r>
      <rPr>
        <b/>
        <sz val="10"/>
        <rFont val="Arial"/>
        <family val="2"/>
      </rPr>
      <t>Raumvergleich</t>
    </r>
    <r>
      <rPr>
        <sz val="10"/>
        <rFont val="Arial"/>
        <family val="2"/>
      </rPr>
      <t xml:space="preserve"> listet und vergleicht bisherige Immobilien.</t>
    </r>
    <phoneticPr fontId="5" type="noConversion"/>
  </si>
  <si>
    <t>Ssc</t>
  </si>
  <si>
    <t>Dauerleihgaben</t>
  </si>
  <si>
    <t>Beamer by apic oder h07</t>
  </si>
  <si>
    <t>Stereoanlage by kiu</t>
  </si>
  <si>
    <t>24port Switch by kiu</t>
  </si>
  <si>
    <t>Wiederkehrend</t>
  </si>
  <si>
    <t>Spenden</t>
  </si>
  <si>
    <t>Domain von Codec</t>
  </si>
  <si>
    <r>
      <t xml:space="preserve">Das Sheet </t>
    </r>
    <r>
      <rPr>
        <b/>
        <sz val="10"/>
        <rFont val="Arial"/>
        <family val="2"/>
      </rPr>
      <t>Kalkulation</t>
    </r>
    <r>
      <rPr>
        <sz val="10"/>
        <rFont val="Arial"/>
        <family val="2"/>
      </rPr>
      <t xml:space="preserve"> dient zum Durchspielen von Optionen.</t>
    </r>
  </si>
  <si>
    <r>
      <t xml:space="preserve">Die Sheets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dienen zum Feintunung der</t>
    </r>
    <r>
      <rPr>
        <b/>
        <sz val="10"/>
        <rFont val="Arial"/>
        <family val="2"/>
      </rPr>
      <t xml:space="preserve"> Kalkulation</t>
    </r>
    <r>
      <rPr>
        <sz val="10"/>
        <rFont val="Arial"/>
        <family val="2"/>
      </rPr>
      <t>.</t>
    </r>
  </si>
  <si>
    <t>Kalkulation</t>
  </si>
  <si>
    <t>Menge</t>
  </si>
  <si>
    <t>Anmerkungen</t>
  </si>
  <si>
    <t>Personen</t>
  </si>
  <si>
    <t>Mitglieder Chaosförderung</t>
  </si>
  <si>
    <t>Mitglieder CCC regulär</t>
  </si>
  <si>
    <t>Räumlichkeiten</t>
  </si>
  <si>
    <t>Kaltmiete</t>
  </si>
  <si>
    <t>Kaution / Provision</t>
  </si>
  <si>
    <t>Platzbedarf Lagerfläche</t>
  </si>
  <si>
    <t>Anwesende Personen – Durchschnitt</t>
  </si>
  <si>
    <t>Anwesende Personen – Spitze</t>
  </si>
  <si>
    <t>https://kapsel.muc.ccc.de/liste_potenzieller_raeumlichkeiten?s[]=johann&amp;s[]=graf#laborators_in_schwabing</t>
  </si>
  <si>
    <t xml:space="preserve"> </t>
    <phoneticPr fontId="5" type="noConversion"/>
  </si>
  <si>
    <t>ÖPNV-Anbindung</t>
  </si>
  <si>
    <t>Nähe zu S/U-Bahn</t>
  </si>
  <si>
    <t>Parkplatzsituation</t>
  </si>
  <si>
    <t>Fläche</t>
  </si>
  <si>
    <t>Aufteilung</t>
  </si>
  <si>
    <t>Zustand</t>
  </si>
  <si>
    <t>Kaution/Provision</t>
  </si>
  <si>
    <t>Heizung</t>
  </si>
  <si>
    <t>Internet</t>
  </si>
  <si>
    <t>Klimaanlage</t>
  </si>
  <si>
    <t>DV-Verkabelung</t>
  </si>
  <si>
    <t>Dusche</t>
  </si>
  <si>
    <t>Toilette</t>
  </si>
  <si>
    <t>Balkon/Terasse</t>
  </si>
  <si>
    <t>Küche</t>
  </si>
  <si>
    <t xml:space="preserve">  </t>
  </si>
  <si>
    <t>Gegensprechanlage</t>
  </si>
  <si>
    <t>Geschirrspüler</t>
  </si>
  <si>
    <t>Nachbarsituation</t>
  </si>
  <si>
    <t>Hackvalue</t>
  </si>
  <si>
    <t>Vermieter</t>
  </si>
  <si>
    <t>Hausmeister</t>
  </si>
  <si>
    <t>muCCC Infrastruktur Masterplan</t>
    <phoneticPr fontId="5" type="noConversion"/>
  </si>
  <si>
    <t>Immobilie aus Raumvergleich (Spalte)</t>
    <phoneticPr fontId="5" type="noConversion"/>
  </si>
  <si>
    <t>https://kapsel.muc.ccc.de/liste_potenzieller_raeumlichkeiten?s[]=johann&amp;s[]=graf#schupppen_lindwurmstr</t>
  </si>
  <si>
    <t>https://kapsel.muc.ccc.de/meeting-2007-09-29#wohnung_schillerstr._34</t>
  </si>
  <si>
    <t>D</t>
    <phoneticPr fontId="5" type="noConversion"/>
  </si>
  <si>
    <t>BND, Gustav-Heinemann Ring 71, 81739 München</t>
    <phoneticPr fontId="5" type="noConversion"/>
  </si>
  <si>
    <t>Neue Balan, Balanstr. 73, kleine Fenster</t>
    <phoneticPr fontId="5" type="noConversion"/>
  </si>
  <si>
    <t>Neue Balan, Balanstr. 73, Keller</t>
    <phoneticPr fontId="5" type="noConversion"/>
  </si>
  <si>
    <t>Neue Balan, Balanstr. 73, große Fenster</t>
    <phoneticPr fontId="5" type="noConversion"/>
  </si>
  <si>
    <t>Laborators, am Nordbad, Theo-Prosel-Weg 1</t>
    <phoneticPr fontId="5" type="noConversion"/>
  </si>
  <si>
    <t>Einsteinblock,
Haidhausen</t>
    <phoneticPr fontId="5" type="noConversion"/>
  </si>
  <si>
    <t xml:space="preserve"> Lagerraum Nähe HBF: Keller 125 VHB</t>
    <phoneticPr fontId="5" type="noConversion"/>
  </si>
  <si>
    <t>Papke-Immobilien
Büroeinheiten</t>
    <phoneticPr fontId="5" type="noConversion"/>
  </si>
  <si>
    <t>Ausstattung</t>
    <phoneticPr fontId="5" type="noConversion"/>
  </si>
  <si>
    <t>Harte Fakten</t>
    <phoneticPr fontId="5" type="noConversion"/>
  </si>
  <si>
    <t>Fläche</t>
    <phoneticPr fontId="5" type="noConversion"/>
  </si>
  <si>
    <t>https://kapsel.muc.ccc.de/liste_potenzieller_raeumlichkeiten?s[]=johann&amp;s[]=graf#bunker_in_riem</t>
  </si>
  <si>
    <t>FnordSense</t>
  </si>
  <si>
    <t>Basisstation</t>
  </si>
  <si>
    <t>Anfertigung Schlüssel</t>
  </si>
  <si>
    <t>Drucker</t>
  </si>
  <si>
    <t>Microwelle</t>
  </si>
  <si>
    <t>Stereoanlage</t>
  </si>
  <si>
    <t>Lötkolbenresistenter Werktisch</t>
  </si>
  <si>
    <t>Sicherheiten</t>
  </si>
  <si>
    <t>Mietkaution/Provision</t>
  </si>
  <si>
    <t>Laufende Kosten</t>
  </si>
  <si>
    <t>Information</t>
    <phoneticPr fontId="5" type="noConversion"/>
  </si>
  <si>
    <t>https://kapsel.muc.ccc.de/intern:immoscouting-sva#schwanthalerstr</t>
  </si>
  <si>
    <t>https://kapsel.muc.ccc.de/intern:immoscouting-sva#lindwurmstrasse_poccistr</t>
    <phoneticPr fontId="5" type="noConversion"/>
  </si>
  <si>
    <t>https://kapsel.muc.ccc.de/meeting-2007-09-29#blumenstr._nahe_registratur</t>
    <phoneticPr fontId="5" type="noConversion"/>
  </si>
  <si>
    <t>Mate, Bier und sowas</t>
    <phoneticPr fontId="5" type="noConversion"/>
  </si>
  <si>
    <t>monatliche Beiträge</t>
    <phoneticPr fontId="5" type="noConversion"/>
  </si>
  <si>
    <t>Kontostand nach 24 Monaten Kapsel</t>
    <phoneticPr fontId="5" type="noConversion"/>
  </si>
</sst>
</file>

<file path=xl/styles.xml><?xml version="1.0" encoding="utf-8"?>
<styleSheet xmlns="http://schemas.openxmlformats.org/spreadsheetml/2006/main">
  <numFmts count="15">
    <numFmt numFmtId="164" formatCode="#,##0.00\ [$€-407];[Red]\-#,##0.00\ [$€-407]"/>
    <numFmt numFmtId="165" formatCode="0\ [$qm]"/>
    <numFmt numFmtId="166" formatCode="[$ -407]#,##0.00&quot; €/MM&quot;;[Red][$ -407]\-#,##0.00&quot; €/MM&quot;"/>
    <numFmt numFmtId="167" formatCode="[$á ]0.00&quot; €/qm&quot;"/>
    <numFmt numFmtId="168" formatCode="0\ [$MM]"/>
    <numFmt numFmtId="169" formatCode="[$á ]0.00&quot; qm/Person&quot;"/>
    <numFmt numFmtId="170" formatCode="0.00&quot; €&quot;"/>
    <numFmt numFmtId="171" formatCode="[$=~ ]0&quot;% lfd. Kosten&quot;"/>
    <numFmt numFmtId="172" formatCode="[$á ]0.00&quot; €/Getränk&quot;"/>
    <numFmt numFmtId="173" formatCode="#,##0.00&quot;$&quot;"/>
    <numFmt numFmtId="174" formatCode="[$á ]0.00&quot; €/Kasten&quot;"/>
    <numFmt numFmtId="175" formatCode="&quot;Stand &quot;dd/mm/yyyy"/>
    <numFmt numFmtId="176" formatCode="&quot;Kontostand gemäß &quot;dd/mm/yyyy"/>
    <numFmt numFmtId="177" formatCode="[$statt ]0.00&quot; € initial&quot;"/>
    <numFmt numFmtId="178" formatCode="[$statt ]0.00&quot; € monatlich&quot;"/>
  </numFmts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Verdana"/>
    </font>
    <font>
      <u/>
      <sz val="10"/>
      <color indexed="12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4"/>
        <bgColor indexed="55"/>
      </patternFill>
    </fill>
    <fill>
      <patternFill patternType="solid">
        <fgColor indexed="62"/>
        <bgColor indexed="63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0" fillId="2" borderId="0" xfId="0" applyFont="1" applyFill="1"/>
    <xf numFmtId="164" fontId="0" fillId="5" borderId="0" xfId="0" applyNumberFormat="1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167" fontId="0" fillId="5" borderId="0" xfId="0" applyNumberFormat="1" applyFill="1" applyAlignment="1">
      <alignment horizontal="left"/>
    </xf>
    <xf numFmtId="0" fontId="0" fillId="5" borderId="0" xfId="0" applyFont="1" applyFill="1"/>
    <xf numFmtId="9" fontId="0" fillId="2" borderId="0" xfId="0" applyNumberFormat="1" applyFont="1" applyFill="1"/>
    <xf numFmtId="10" fontId="0" fillId="0" borderId="0" xfId="0" applyNumberFormat="1"/>
    <xf numFmtId="164" fontId="3" fillId="4" borderId="0" xfId="0" applyNumberFormat="1" applyFont="1" applyFill="1"/>
    <xf numFmtId="10" fontId="3" fillId="4" borderId="0" xfId="0" applyNumberFormat="1" applyFont="1" applyFill="1"/>
    <xf numFmtId="164" fontId="0" fillId="3" borderId="0" xfId="0" applyNumberFormat="1" applyFont="1" applyFill="1"/>
    <xf numFmtId="10" fontId="0" fillId="3" borderId="0" xfId="0" applyNumberFormat="1" applyFill="1"/>
    <xf numFmtId="164" fontId="0" fillId="0" borderId="0" xfId="0" applyNumberFormat="1"/>
    <xf numFmtId="168" fontId="0" fillId="5" borderId="0" xfId="0" applyNumberFormat="1" applyFont="1" applyFill="1"/>
    <xf numFmtId="164" fontId="0" fillId="0" borderId="0" xfId="0" applyNumberFormat="1" applyFont="1"/>
    <xf numFmtId="0" fontId="0" fillId="2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0" fontId="2" fillId="5" borderId="0" xfId="0" applyNumberFormat="1" applyFont="1" applyFill="1"/>
    <xf numFmtId="170" fontId="0" fillId="5" borderId="0" xfId="0" applyNumberFormat="1" applyFont="1" applyFill="1"/>
    <xf numFmtId="171" fontId="4" fillId="0" borderId="0" xfId="0" applyNumberFormat="1" applyFont="1" applyFill="1" applyAlignment="1">
      <alignment horizontal="left"/>
    </xf>
    <xf numFmtId="164" fontId="2" fillId="3" borderId="0" xfId="0" applyNumberFormat="1" applyFont="1" applyFill="1"/>
    <xf numFmtId="169" fontId="4" fillId="0" borderId="0" xfId="0" applyNumberFormat="1" applyFont="1" applyFill="1" applyAlignment="1">
      <alignment horizontal="left"/>
    </xf>
    <xf numFmtId="0" fontId="7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0" borderId="0" xfId="0" applyFont="1"/>
    <xf numFmtId="0" fontId="9" fillId="9" borderId="0" xfId="0" applyFont="1" applyFill="1" applyAlignment="1">
      <alignment horizontal="left"/>
    </xf>
    <xf numFmtId="0" fontId="9" fillId="9" borderId="0" xfId="0" applyFont="1" applyFill="1"/>
    <xf numFmtId="0" fontId="0" fillId="8" borderId="0" xfId="0" applyFill="1" applyAlignment="1">
      <alignment horizontal="left"/>
    </xf>
    <xf numFmtId="0" fontId="0" fillId="0" borderId="0" xfId="0" applyAlignment="1">
      <alignment horizontal="right"/>
    </xf>
    <xf numFmtId="172" fontId="4" fillId="10" borderId="0" xfId="0" applyNumberFormat="1" applyFont="1" applyFill="1" applyAlignment="1">
      <alignment horizontal="left"/>
    </xf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174" fontId="4" fillId="10" borderId="0" xfId="0" applyNumberFormat="1" applyFont="1" applyFill="1" applyAlignment="1">
      <alignment horizontal="left"/>
    </xf>
    <xf numFmtId="173" fontId="2" fillId="3" borderId="0" xfId="0" applyNumberFormat="1" applyFont="1" applyFill="1"/>
    <xf numFmtId="173" fontId="0" fillId="0" borderId="0" xfId="0" applyNumberFormat="1"/>
    <xf numFmtId="173" fontId="0" fillId="11" borderId="0" xfId="0" applyNumberFormat="1" applyFill="1"/>
    <xf numFmtId="176" fontId="0" fillId="11" borderId="0" xfId="0" applyNumberFormat="1" applyFill="1" applyAlignment="1">
      <alignment horizontal="left"/>
    </xf>
    <xf numFmtId="175" fontId="0" fillId="11" borderId="0" xfId="0" applyNumberFormat="1" applyFill="1"/>
    <xf numFmtId="0" fontId="4" fillId="6" borderId="0" xfId="0" applyFont="1" applyFill="1" applyAlignment="1">
      <alignment horizontal="left"/>
    </xf>
    <xf numFmtId="0" fontId="4" fillId="6" borderId="0" xfId="0" applyFont="1" applyFill="1"/>
    <xf numFmtId="0" fontId="0" fillId="7" borderId="0" xfId="0" applyFill="1" applyAlignment="1">
      <alignment horizontal="left"/>
    </xf>
    <xf numFmtId="0" fontId="0" fillId="12" borderId="0" xfId="0" applyFill="1" applyAlignment="1">
      <alignment horizontal="left" vertical="top"/>
    </xf>
    <xf numFmtId="0" fontId="0" fillId="12" borderId="0" xfId="0" applyFill="1"/>
    <xf numFmtId="0" fontId="0" fillId="12" borderId="0" xfId="0" applyFill="1" applyAlignment="1">
      <alignment vertical="top"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horizontal="left"/>
    </xf>
    <xf numFmtId="0" fontId="0" fillId="12" borderId="0" xfId="0" applyFill="1" applyAlignment="1">
      <alignment vertical="top"/>
    </xf>
    <xf numFmtId="0" fontId="0" fillId="12" borderId="0" xfId="0" applyFill="1" applyAlignment="1"/>
    <xf numFmtId="0" fontId="6" fillId="12" borderId="0" xfId="1" applyFill="1" applyAlignment="1" applyProtection="1">
      <alignment vertical="top" wrapText="1"/>
    </xf>
    <xf numFmtId="16" fontId="0" fillId="12" borderId="0" xfId="0" applyNumberFormat="1" applyFill="1" applyAlignment="1">
      <alignment vertical="top" wrapText="1"/>
    </xf>
    <xf numFmtId="0" fontId="6" fillId="12" borderId="0" xfId="1" applyFill="1" applyAlignment="1" applyProtection="1">
      <alignment vertical="top"/>
    </xf>
    <xf numFmtId="0" fontId="10" fillId="12" borderId="0" xfId="1" applyFont="1" applyFill="1" applyAlignment="1" applyProtection="1">
      <alignment vertical="top"/>
    </xf>
    <xf numFmtId="0" fontId="0" fillId="0" borderId="0" xfId="0" applyBorder="1" applyAlignment="1">
      <alignment horizontal="center"/>
    </xf>
    <xf numFmtId="0" fontId="11" fillId="0" borderId="0" xfId="0" applyFont="1"/>
    <xf numFmtId="0" fontId="0" fillId="11" borderId="0" xfId="0" applyFill="1"/>
    <xf numFmtId="0" fontId="0" fillId="11" borderId="0" xfId="0" applyFill="1" applyAlignment="1">
      <alignment horizontal="left"/>
    </xf>
    <xf numFmtId="165" fontId="0" fillId="11" borderId="0" xfId="0" applyNumberFormat="1" applyFill="1" applyAlignment="1">
      <alignment vertical="top"/>
    </xf>
    <xf numFmtId="165" fontId="0" fillId="11" borderId="0" xfId="0" applyNumberForma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11" borderId="0" xfId="0" applyFill="1" applyAlignment="1">
      <alignment wrapText="1"/>
    </xf>
    <xf numFmtId="173" fontId="0" fillId="11" borderId="0" xfId="0" applyNumberFormat="1" applyFill="1" applyAlignment="1">
      <alignment vertical="top" wrapText="1"/>
    </xf>
    <xf numFmtId="0" fontId="0" fillId="11" borderId="0" xfId="0" applyFill="1" applyAlignment="1"/>
    <xf numFmtId="0" fontId="0" fillId="11" borderId="0" xfId="0" applyFill="1" applyAlignment="1">
      <alignment vertical="top"/>
    </xf>
    <xf numFmtId="0" fontId="0" fillId="13" borderId="0" xfId="0" applyFill="1"/>
    <xf numFmtId="0" fontId="0" fillId="13" borderId="0" xfId="0" applyFill="1" applyAlignment="1">
      <alignment horizontal="left"/>
    </xf>
    <xf numFmtId="0" fontId="6" fillId="12" borderId="0" xfId="1" applyFont="1" applyFill="1" applyAlignment="1" applyProtection="1">
      <alignment vertical="top"/>
    </xf>
    <xf numFmtId="168" fontId="0" fillId="0" borderId="0" xfId="0" applyNumberFormat="1" applyFont="1" applyFill="1"/>
    <xf numFmtId="173" fontId="0" fillId="11" borderId="0" xfId="0" applyNumberFormat="1" applyFill="1" applyAlignment="1">
      <alignment vertical="top" wrapText="1"/>
    </xf>
    <xf numFmtId="177" fontId="0" fillId="5" borderId="0" xfId="0" applyNumberFormat="1" applyFill="1" applyAlignment="1">
      <alignment horizontal="left"/>
    </xf>
    <xf numFmtId="178" fontId="0" fillId="5" borderId="0" xfId="0" applyNumberFormat="1" applyFill="1" applyAlignment="1">
      <alignment horizontal="left"/>
    </xf>
    <xf numFmtId="164" fontId="0" fillId="0" borderId="0" xfId="0" applyNumberFormat="1" applyFont="1" applyFill="1"/>
    <xf numFmtId="166" fontId="0" fillId="0" borderId="0" xfId="0" applyNumberFormat="1" applyFont="1" applyFill="1"/>
    <xf numFmtId="165" fontId="0" fillId="0" borderId="0" xfId="0" applyNumberFormat="1" applyFont="1" applyFill="1"/>
    <xf numFmtId="173" fontId="0" fillId="11" borderId="0" xfId="0" applyNumberFormat="1" applyFill="1" applyAlignment="1">
      <alignment vertical="top" wrapText="1"/>
    </xf>
    <xf numFmtId="173" fontId="0" fillId="11" borderId="0" xfId="0" applyNumberFormat="1" applyFill="1" applyAlignment="1">
      <alignment vertical="top"/>
    </xf>
    <xf numFmtId="173" fontId="0" fillId="11" borderId="0" xfId="0" applyNumberFormat="1" applyFill="1" applyAlignment="1">
      <alignment vertical="top" wrapText="1"/>
    </xf>
    <xf numFmtId="0" fontId="4" fillId="11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0"/>
          <a:ext cx="1057275" cy="6905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https://kapsel.muc.ccc.de/meeting-2007-09-29" TargetMode="External"/><Relationship Id="rId7" Type="http://schemas.openxmlformats.org/officeDocument/2006/relationships/hyperlink" Target="https://kapsel.muc.ccc.de/liste_potenzieller_raeumlichkeiten?s%5B%5D=johann&amp;s%5B%5D=graf" TargetMode="External"/><Relationship Id="rId11" Type="http://schemas.openxmlformats.org/officeDocument/2006/relationships/hyperlink" Target="https://kapsel.muc.ccc.de/liste_potenzieller_raeumlichkeiten?s%5B%5D=johann&amp;s%5B%5D=graf" TargetMode="External"/><Relationship Id="rId1" Type="http://schemas.openxmlformats.org/officeDocument/2006/relationships/hyperlink" Target="mailto:vermietung@pasinger.de" TargetMode="External"/><Relationship Id="rId6" Type="http://schemas.openxmlformats.org/officeDocument/2006/relationships/hyperlink" Target="https://kapsel.muc.ccc.de/meeting-2007-09-29" TargetMode="External"/><Relationship Id="rId8" Type="http://schemas.openxmlformats.org/officeDocument/2006/relationships/hyperlink" Target="https://kapsel.muc.ccc.de/liste_potenzieller_raeumlichkeiten?s%5B%5D=johann&amp;s%5B%5D=graf" TargetMode="External"/><Relationship Id="rId13" Type="http://schemas.openxmlformats.org/officeDocument/2006/relationships/drawing" Target="../drawings/drawing1.xml"/><Relationship Id="rId10" Type="http://schemas.openxmlformats.org/officeDocument/2006/relationships/hyperlink" Target="https://kapsel.muc.ccc.de/liste_potenzieller_raeumlichkeiten?s%5B%5D=johann&amp;s%5B%5D=graf" TargetMode="External"/><Relationship Id="rId5" Type="http://schemas.openxmlformats.org/officeDocument/2006/relationships/hyperlink" Target="https://kapsel.muc.ccc.de/liste_potenzieller_raeumlichkeiten?s%5B%5D=johann&amp;s%5B%5D=graf" TargetMode="External"/><Relationship Id="rId12" Type="http://schemas.openxmlformats.org/officeDocument/2006/relationships/hyperlink" Target="https://kapsel.muc.ccc.de/liste_potenzieller_raeumlichkeiten?s%5B%5D=johann&amp;s%5B%5D=graf" TargetMode="External"/><Relationship Id="rId2" Type="http://schemas.openxmlformats.org/officeDocument/2006/relationships/hyperlink" Target="https://kapsel.muc.ccc.de/intern:immoscouting-sva" TargetMode="External"/><Relationship Id="rId9" Type="http://schemas.openxmlformats.org/officeDocument/2006/relationships/hyperlink" Target="https://kapsel.muc.ccc.de/liste_potenzieller_raeumlichkeiten?s%5B%5D=johann&amp;s%5B%5D=graf" TargetMode="External"/><Relationship Id="rId3" Type="http://schemas.openxmlformats.org/officeDocument/2006/relationships/hyperlink" Target="https://kapsel.muc.ccc.de/intern:immoscouting-s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8"/>
  <sheetViews>
    <sheetView tabSelected="1" zoomScale="150" workbookViewId="0">
      <selection activeCell="D34" sqref="D34"/>
    </sheetView>
  </sheetViews>
  <sheetFormatPr baseColWidth="10" defaultColWidth="11.5" defaultRowHeight="12"/>
  <cols>
    <col min="1" max="2" width="2.5" customWidth="1"/>
    <col min="3" max="3" width="35.33203125" customWidth="1"/>
    <col min="4" max="4" width="7.5" customWidth="1"/>
    <col min="5" max="5" width="12.5" bestFit="1" customWidth="1"/>
    <col min="6" max="6" width="22" bestFit="1" customWidth="1"/>
  </cols>
  <sheetData>
    <row r="1" spans="1:6" ht="15">
      <c r="A1" s="1" t="s">
        <v>215</v>
      </c>
      <c r="F1" s="50">
        <v>39580</v>
      </c>
    </row>
    <row r="2" spans="1:6" ht="13" thickBot="1">
      <c r="B2" t="s">
        <v>88</v>
      </c>
      <c r="D2" s="2"/>
    </row>
    <row r="3" spans="1:6">
      <c r="B3" t="s">
        <v>177</v>
      </c>
    </row>
    <row r="4" spans="1:6">
      <c r="B4" t="s">
        <v>168</v>
      </c>
    </row>
    <row r="5" spans="1:6">
      <c r="B5" t="s">
        <v>178</v>
      </c>
    </row>
    <row r="6" spans="1:6" ht="7.5" customHeight="1">
      <c r="A6" s="1"/>
    </row>
    <row r="7" spans="1:6" ht="15">
      <c r="A7" s="1" t="s">
        <v>179</v>
      </c>
    </row>
    <row r="8" spans="1:6" ht="6.25" customHeight="1"/>
    <row r="9" spans="1:6">
      <c r="C9" s="4"/>
      <c r="D9" s="4" t="s">
        <v>180</v>
      </c>
      <c r="E9" s="5" t="s">
        <v>86</v>
      </c>
      <c r="F9" s="4" t="s">
        <v>181</v>
      </c>
    </row>
    <row r="10" spans="1:6">
      <c r="B10" s="3"/>
      <c r="C10" s="6" t="s">
        <v>179</v>
      </c>
      <c r="D10" s="6"/>
      <c r="E10" s="7"/>
      <c r="F10" s="6"/>
    </row>
    <row r="11" spans="1:6">
      <c r="B11" s="3"/>
      <c r="C11" s="4" t="s">
        <v>69</v>
      </c>
      <c r="D11" s="4"/>
      <c r="E11" s="46"/>
      <c r="F11" s="4"/>
    </row>
    <row r="12" spans="1:6">
      <c r="B12" s="3"/>
      <c r="C12" s="49">
        <v>39538</v>
      </c>
      <c r="E12" s="48">
        <v>9619.2900000000009</v>
      </c>
    </row>
    <row r="13" spans="1:6">
      <c r="B13" s="3"/>
      <c r="C13" t="s">
        <v>50</v>
      </c>
      <c r="E13" s="47">
        <f ca="1">(Ausgaben!$G$4-Ausgaben!$G$51)+(24*Ausgaben!$F$55)</f>
        <v>38929</v>
      </c>
      <c r="F13" t="s">
        <v>123</v>
      </c>
    </row>
    <row r="14" spans="1:6">
      <c r="A14" s="3"/>
      <c r="B14" s="3"/>
      <c r="C14" t="s">
        <v>48</v>
      </c>
      <c r="E14" s="47">
        <f>($E$20*24)+$E$33</f>
        <v>34994.600000000006</v>
      </c>
      <c r="F14" t="s">
        <v>97</v>
      </c>
    </row>
    <row r="15" spans="1:6">
      <c r="A15" s="3"/>
      <c r="B15" s="3"/>
      <c r="C15" t="s">
        <v>96</v>
      </c>
      <c r="E15" s="47">
        <f>($E$21*24)+$F$33</f>
        <v>38587</v>
      </c>
      <c r="F15" t="s">
        <v>97</v>
      </c>
    </row>
    <row r="16" spans="1:6">
      <c r="A16" s="3"/>
      <c r="B16" s="3"/>
      <c r="C16" t="s">
        <v>248</v>
      </c>
      <c r="E16" s="47">
        <f ca="1">($E$12+$E$14-$E$13)</f>
        <v>5684.8900000000067</v>
      </c>
      <c r="F16" t="s">
        <v>122</v>
      </c>
    </row>
    <row r="17" spans="1:6">
      <c r="A17" s="3"/>
      <c r="B17" s="3"/>
      <c r="C17" t="s">
        <v>95</v>
      </c>
      <c r="E17" s="47">
        <f ca="1">($E$12+$E$15-$E$13)</f>
        <v>9277.2900000000009</v>
      </c>
      <c r="F17" t="s">
        <v>122</v>
      </c>
    </row>
    <row r="18" spans="1:6">
      <c r="A18" s="3"/>
      <c r="B18" s="3"/>
      <c r="C18" s="4" t="s">
        <v>49</v>
      </c>
      <c r="D18" s="4"/>
      <c r="E18" s="46">
        <f ca="1">E19+E21</f>
        <v>2878</v>
      </c>
      <c r="F18" s="4"/>
    </row>
    <row r="19" spans="1:6">
      <c r="A19" s="3"/>
      <c r="B19" s="3"/>
      <c r="C19" t="s">
        <v>50</v>
      </c>
      <c r="E19" s="47">
        <f ca="1">Ausgaben!F55</f>
        <v>1369</v>
      </c>
      <c r="F19" t="s">
        <v>100</v>
      </c>
    </row>
    <row r="20" spans="1:6">
      <c r="A20" s="3"/>
      <c r="B20" s="3"/>
      <c r="C20" t="s">
        <v>48</v>
      </c>
      <c r="E20" s="47">
        <f>($D$33*Einnahmen!F30)+Einnahmen!F35</f>
        <v>1374.15</v>
      </c>
      <c r="F20" t="s">
        <v>122</v>
      </c>
    </row>
    <row r="21" spans="1:6">
      <c r="A21" s="3"/>
      <c r="B21" s="3"/>
      <c r="C21" t="s">
        <v>98</v>
      </c>
      <c r="E21" s="47">
        <f>Einnahmen!F29</f>
        <v>1509</v>
      </c>
      <c r="F21" t="s">
        <v>122</v>
      </c>
    </row>
    <row r="22" spans="1:6">
      <c r="A22" s="3"/>
      <c r="C22" s="4" t="s">
        <v>182</v>
      </c>
      <c r="D22" s="4">
        <f>D23+D24</f>
        <v>31</v>
      </c>
      <c r="E22" s="30">
        <f>(D23*E23)+(D24*E24)</f>
        <v>610</v>
      </c>
      <c r="F22" s="4"/>
    </row>
    <row r="23" spans="1:6">
      <c r="B23" s="3"/>
      <c r="C23" s="8" t="s">
        <v>183</v>
      </c>
      <c r="D23" s="9">
        <v>10</v>
      </c>
      <c r="E23" s="11">
        <v>40</v>
      </c>
      <c r="F23" s="29" t="s">
        <v>247</v>
      </c>
    </row>
    <row r="24" spans="1:6">
      <c r="B24" s="3"/>
      <c r="C24" t="s">
        <v>184</v>
      </c>
      <c r="D24" s="9">
        <v>21</v>
      </c>
      <c r="E24" s="11">
        <v>10</v>
      </c>
      <c r="F24" s="29" t="s">
        <v>247</v>
      </c>
    </row>
    <row r="25" spans="1:6">
      <c r="B25" s="3"/>
      <c r="C25" s="4" t="s">
        <v>185</v>
      </c>
      <c r="D25" s="4"/>
      <c r="E25" s="4"/>
      <c r="F25" s="4"/>
    </row>
    <row r="26" spans="1:6">
      <c r="B26" s="3"/>
      <c r="C26" t="s">
        <v>216</v>
      </c>
      <c r="D26" s="89" t="s">
        <v>219</v>
      </c>
      <c r="E26" s="89"/>
      <c r="F26" t="str">
        <f ca="1">INDIRECT(SUBSTITUTE("Raumvergleich!A6","A",D26))</f>
        <v>Schwanthalerstr. 60_x000D_</v>
      </c>
    </row>
    <row r="27" spans="1:6">
      <c r="B27" s="3"/>
      <c r="C27" t="s">
        <v>186</v>
      </c>
      <c r="D27" s="85">
        <f ca="1">INDIRECT(SUBSTITUTE("Raumvergleich!A13","A",D26))</f>
        <v>88</v>
      </c>
      <c r="E27" s="84">
        <f ca="1">INDIRECT(SUBSTITUTE("Raumvergleich!A14","A",D26))</f>
        <v>725</v>
      </c>
      <c r="F27" s="13">
        <f ca="1">E27/D27</f>
        <v>8.2386363636363633</v>
      </c>
    </row>
    <row r="28" spans="1:6">
      <c r="B28" s="3"/>
      <c r="C28" t="s">
        <v>187</v>
      </c>
      <c r="D28" s="79">
        <f ca="1">E28/E27</f>
        <v>1</v>
      </c>
      <c r="E28" s="83">
        <f ca="1">INDIRECT(SUBSTITUTE("Raumvergleich!A15","A",D26))</f>
        <v>725</v>
      </c>
    </row>
    <row r="29" spans="1:6">
      <c r="B29" s="3"/>
      <c r="C29" t="s">
        <v>188</v>
      </c>
      <c r="D29" s="12">
        <v>15</v>
      </c>
    </row>
    <row r="30" spans="1:6">
      <c r="B30" s="3"/>
      <c r="C30" t="s">
        <v>189</v>
      </c>
      <c r="D30" s="14">
        <f>ROUNDUP(D22/2.5,0)</f>
        <v>13</v>
      </c>
      <c r="F30" s="31">
        <f ca="1">D27/D30</f>
        <v>6.7692307692307692</v>
      </c>
    </row>
    <row r="31" spans="1:6">
      <c r="B31" s="3"/>
      <c r="C31" t="s">
        <v>190</v>
      </c>
      <c r="D31" s="14">
        <f>ROUNDUP((D22*1.5),0)</f>
        <v>47</v>
      </c>
      <c r="F31" s="31">
        <f ca="1">D27/D31</f>
        <v>1.8723404255319149</v>
      </c>
    </row>
    <row r="32" spans="1:6">
      <c r="A32" s="3"/>
      <c r="B32" s="3"/>
      <c r="C32" s="4" t="s">
        <v>99</v>
      </c>
      <c r="D32" s="4"/>
      <c r="E32" s="4"/>
      <c r="F32" s="4"/>
    </row>
    <row r="33" spans="1:6">
      <c r="A33" s="3"/>
      <c r="B33" s="3"/>
      <c r="C33" t="s">
        <v>36</v>
      </c>
      <c r="D33" s="15">
        <v>0.85</v>
      </c>
      <c r="E33" s="28">
        <f>ROUND((Einnahmen!G5+Einnahmen!G19+Einnahmen!G22)*D33,0)</f>
        <v>2015</v>
      </c>
      <c r="F33" s="81">
        <f>Einnahmen!G5+Einnahmen!G19+Einnahmen!G22</f>
        <v>2371</v>
      </c>
    </row>
    <row r="34" spans="1:6">
      <c r="A34" s="3"/>
      <c r="B34" s="3"/>
      <c r="E34" s="28">
        <f>ROUND(F34*D33,0)</f>
        <v>764</v>
      </c>
      <c r="F34" s="82">
        <f>Einnahmen!F30</f>
        <v>899</v>
      </c>
    </row>
    <row r="35" spans="1:6">
      <c r="A35" s="3"/>
    </row>
    <row r="36" spans="1:6">
      <c r="A36" s="3"/>
    </row>
    <row r="37" spans="1:6">
      <c r="A37" s="3"/>
    </row>
    <row r="38" spans="1:6">
      <c r="A38" s="3"/>
    </row>
    <row r="39" spans="1:6">
      <c r="A39" s="3"/>
    </row>
    <row r="40" spans="1:6">
      <c r="A40" s="3"/>
    </row>
    <row r="41" spans="1:6">
      <c r="A41" s="3"/>
    </row>
    <row r="42" spans="1:6">
      <c r="A42" s="3"/>
    </row>
    <row r="43" spans="1:6">
      <c r="A43" s="3"/>
    </row>
    <row r="44" spans="1:6">
      <c r="A44" s="3"/>
    </row>
    <row r="45" spans="1:6">
      <c r="A45" s="3"/>
    </row>
    <row r="46" spans="1:6">
      <c r="A46" s="3"/>
    </row>
    <row r="47" spans="1:6">
      <c r="A47" s="3"/>
    </row>
    <row r="48" spans="1:6">
      <c r="A48" s="3"/>
    </row>
    <row r="49" spans="1:2">
      <c r="A49" s="3"/>
    </row>
    <row r="50" spans="1:2">
      <c r="A50" s="3"/>
    </row>
    <row r="51" spans="1:2">
      <c r="A51" s="3"/>
    </row>
    <row r="52" spans="1:2">
      <c r="A52" s="3"/>
    </row>
    <row r="53" spans="1:2">
      <c r="A53" s="3"/>
    </row>
    <row r="54" spans="1:2">
      <c r="A54" s="3"/>
    </row>
    <row r="55" spans="1:2">
      <c r="A55" s="3"/>
    </row>
    <row r="56" spans="1:2">
      <c r="A56" s="3"/>
    </row>
    <row r="57" spans="1:2">
      <c r="A57" s="3"/>
      <c r="B57" s="3"/>
    </row>
    <row r="58" spans="1:2">
      <c r="A58" s="3"/>
      <c r="B58" s="3"/>
    </row>
  </sheetData>
  <mergeCells count="1">
    <mergeCell ref="D26:E26"/>
  </mergeCells>
  <phoneticPr fontId="5" type="noConversion"/>
  <pageMargins left="0.78740157480314965" right="0.78740157480314965" top="1.0236220472440944" bottom="1.0236220472440944" header="0.78740157480314965" footer="0.78740157480314965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E55"/>
  <sheetViews>
    <sheetView zoomScale="15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C14" sqref="C14"/>
    </sheetView>
  </sheetViews>
  <sheetFormatPr baseColWidth="10" defaultRowHeight="12"/>
  <cols>
    <col min="1" max="1" width="20.5" customWidth="1"/>
    <col min="2" max="2" width="9.5" customWidth="1"/>
    <col min="3" max="3" width="13" customWidth="1"/>
    <col min="4" max="4" width="15.83203125" customWidth="1"/>
    <col min="5" max="5" width="11.5" customWidth="1"/>
    <col min="6" max="6" width="10.6640625" customWidth="1"/>
    <col min="7" max="7" width="11.1640625" customWidth="1"/>
    <col min="8" max="8" width="12.5" customWidth="1"/>
    <col min="9" max="9" width="11.33203125" customWidth="1"/>
    <col min="10" max="11" width="12.1640625" customWidth="1"/>
    <col min="12" max="12" width="16.5" customWidth="1"/>
    <col min="13" max="13" width="13.5" customWidth="1"/>
    <col min="14" max="14" width="16.5" customWidth="1"/>
    <col min="15" max="15" width="16.33203125" customWidth="1"/>
    <col min="16" max="16" width="19.33203125" customWidth="1"/>
    <col min="17" max="17" width="15.1640625" customWidth="1"/>
    <col min="18" max="18" width="13.6640625" customWidth="1"/>
    <col min="19" max="19" width="16.5" customWidth="1"/>
    <col min="20" max="20" width="12.83203125" bestFit="1" customWidth="1"/>
    <col min="21" max="21" width="16.5" bestFit="1" customWidth="1"/>
    <col min="22" max="22" width="13.5" customWidth="1"/>
    <col min="23" max="23" width="11.1640625" customWidth="1"/>
    <col min="24" max="24" width="18.6640625" customWidth="1"/>
    <col min="25" max="25" width="12.6640625" customWidth="1"/>
    <col min="26" max="26" width="15.5" customWidth="1"/>
    <col min="27" max="27" width="11.83203125" customWidth="1"/>
    <col min="28" max="28" width="16.5" bestFit="1" customWidth="1"/>
  </cols>
  <sheetData>
    <row r="1" spans="1:109" ht="14">
      <c r="A1" s="32" t="s">
        <v>51</v>
      </c>
      <c r="B1" s="66" t="s">
        <v>52</v>
      </c>
      <c r="C1" s="55" t="s">
        <v>242</v>
      </c>
      <c r="D1" s="67" t="s">
        <v>229</v>
      </c>
      <c r="E1" s="33" t="s">
        <v>53</v>
      </c>
      <c r="F1" s="34" t="s">
        <v>54</v>
      </c>
      <c r="G1" s="76" t="s">
        <v>228</v>
      </c>
      <c r="H1" s="35" t="s">
        <v>55</v>
      </c>
    </row>
    <row r="2" spans="1:109" ht="14">
      <c r="A2" s="32" t="s">
        <v>56</v>
      </c>
      <c r="B2" s="66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109" ht="14">
      <c r="A3" s="36"/>
      <c r="B3" s="66" t="s">
        <v>63</v>
      </c>
      <c r="C3" t="s">
        <v>64</v>
      </c>
      <c r="D3" t="s">
        <v>65</v>
      </c>
      <c r="E3" t="s">
        <v>60</v>
      </c>
      <c r="F3" t="s">
        <v>66</v>
      </c>
      <c r="G3" t="s">
        <v>67</v>
      </c>
    </row>
    <row r="4" spans="1:109"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109" s="38" customFormat="1" ht="14">
      <c r="A5" s="37" t="s">
        <v>68</v>
      </c>
      <c r="B5" s="38" t="s">
        <v>57</v>
      </c>
      <c r="C5" s="38">
        <f t="shared" ref="C5:Z5" si="0">SUMPRODUCT($B16:$B1005,C16:C1005)</f>
        <v>185</v>
      </c>
      <c r="D5" s="38">
        <f t="shared" si="0"/>
        <v>219.25</v>
      </c>
      <c r="E5" s="38">
        <f t="shared" si="0"/>
        <v>191.5</v>
      </c>
      <c r="F5" s="38">
        <f t="shared" si="0"/>
        <v>155.5</v>
      </c>
      <c r="G5" s="38">
        <f t="shared" si="0"/>
        <v>203</v>
      </c>
      <c r="H5" s="38">
        <f t="shared" si="0"/>
        <v>141.5</v>
      </c>
      <c r="I5" s="38">
        <f t="shared" si="0"/>
        <v>240.5</v>
      </c>
      <c r="J5" s="38">
        <f t="shared" si="0"/>
        <v>226</v>
      </c>
      <c r="K5" s="38">
        <f t="shared" si="0"/>
        <v>224.5</v>
      </c>
      <c r="L5" s="38">
        <f t="shared" si="0"/>
        <v>270.5</v>
      </c>
      <c r="M5" s="38">
        <f t="shared" si="0"/>
        <v>248.25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>SUMPRODUCT($B16:$B1005,K16:K1005)</f>
        <v>224.5</v>
      </c>
    </row>
    <row r="6" spans="1:109" s="55" customFormat="1" ht="37" customHeight="1">
      <c r="A6" s="54" t="s">
        <v>5</v>
      </c>
      <c r="C6" s="56" t="s">
        <v>6</v>
      </c>
      <c r="D6" s="56" t="s">
        <v>7</v>
      </c>
      <c r="E6" s="56" t="s">
        <v>8</v>
      </c>
      <c r="F6" s="56" t="s">
        <v>126</v>
      </c>
      <c r="G6" s="56" t="s">
        <v>127</v>
      </c>
      <c r="H6" s="56" t="s">
        <v>128</v>
      </c>
      <c r="I6" s="56" t="s">
        <v>222</v>
      </c>
      <c r="J6" s="56" t="s">
        <v>221</v>
      </c>
      <c r="K6" s="56" t="s">
        <v>223</v>
      </c>
      <c r="L6" s="56" t="s">
        <v>224</v>
      </c>
      <c r="M6" s="56" t="s">
        <v>129</v>
      </c>
      <c r="N6" s="56" t="s">
        <v>130</v>
      </c>
      <c r="O6" s="56" t="s">
        <v>131</v>
      </c>
      <c r="P6" s="56" t="s">
        <v>132</v>
      </c>
      <c r="Q6" s="56" t="s">
        <v>133</v>
      </c>
      <c r="R6" s="56" t="s">
        <v>134</v>
      </c>
      <c r="S6" s="56" t="s">
        <v>135</v>
      </c>
      <c r="T6" s="56" t="s">
        <v>136</v>
      </c>
      <c r="U6" s="56" t="s">
        <v>70</v>
      </c>
      <c r="V6" s="56" t="s">
        <v>226</v>
      </c>
      <c r="W6" s="56" t="s">
        <v>225</v>
      </c>
      <c r="X6" s="56" t="s">
        <v>227</v>
      </c>
      <c r="Y6" s="56" t="s">
        <v>137</v>
      </c>
      <c r="Z6" s="56" t="s">
        <v>33</v>
      </c>
      <c r="AA6" s="56" t="s">
        <v>34</v>
      </c>
      <c r="AB6" s="56" t="s">
        <v>220</v>
      </c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</row>
    <row r="7" spans="1:109" s="55" customFormat="1">
      <c r="A7" s="58" t="s">
        <v>35</v>
      </c>
      <c r="C7" s="59"/>
      <c r="D7" s="59"/>
      <c r="E7" s="56"/>
      <c r="F7" s="56"/>
      <c r="G7" s="56"/>
      <c r="H7" s="56"/>
      <c r="I7" s="56"/>
      <c r="K7" s="56"/>
      <c r="L7" s="56">
        <v>80797</v>
      </c>
      <c r="M7" s="60"/>
      <c r="N7" s="56">
        <v>81379</v>
      </c>
      <c r="O7" s="56"/>
      <c r="P7" s="56"/>
      <c r="Q7" s="56"/>
      <c r="R7" s="56"/>
      <c r="S7" s="56"/>
      <c r="T7" s="56"/>
      <c r="U7" s="56">
        <v>81369</v>
      </c>
      <c r="V7" s="60"/>
      <c r="W7" s="56"/>
      <c r="X7" s="56"/>
      <c r="Y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</row>
    <row r="8" spans="1:109" s="55" customFormat="1">
      <c r="A8" s="58" t="s">
        <v>139</v>
      </c>
      <c r="C8" s="59" t="s">
        <v>140</v>
      </c>
      <c r="D8" s="59" t="s">
        <v>140</v>
      </c>
      <c r="E8" s="56" t="s">
        <v>141</v>
      </c>
      <c r="F8" s="56" t="s">
        <v>140</v>
      </c>
      <c r="G8" s="56" t="s">
        <v>140</v>
      </c>
      <c r="H8" s="56" t="s">
        <v>142</v>
      </c>
      <c r="I8" s="56" t="s">
        <v>141</v>
      </c>
      <c r="J8" s="56" t="s">
        <v>141</v>
      </c>
      <c r="K8" s="56" t="s">
        <v>141</v>
      </c>
      <c r="L8" s="56" t="s">
        <v>141</v>
      </c>
      <c r="M8" s="60" t="s">
        <v>143</v>
      </c>
      <c r="N8" s="56" t="s">
        <v>143</v>
      </c>
      <c r="O8" s="56" t="s">
        <v>144</v>
      </c>
      <c r="P8" s="56" t="s">
        <v>144</v>
      </c>
      <c r="Q8" s="56" t="s">
        <v>144</v>
      </c>
      <c r="R8" s="56" t="s">
        <v>145</v>
      </c>
      <c r="S8" s="56" t="s">
        <v>144</v>
      </c>
      <c r="T8" s="56" t="s">
        <v>144</v>
      </c>
      <c r="U8" s="56" t="s">
        <v>144</v>
      </c>
      <c r="V8" s="60" t="s">
        <v>143</v>
      </c>
      <c r="W8" s="56" t="s">
        <v>146</v>
      </c>
      <c r="X8" s="56" t="s">
        <v>146</v>
      </c>
      <c r="Y8" s="56" t="s">
        <v>147</v>
      </c>
      <c r="Z8" s="56" t="s">
        <v>144</v>
      </c>
      <c r="AA8" s="56" t="s">
        <v>142</v>
      </c>
      <c r="AB8" s="56" t="s">
        <v>142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</row>
    <row r="9" spans="1:109" s="55" customFormat="1" ht="36">
      <c r="A9" s="54" t="s">
        <v>148</v>
      </c>
      <c r="C9" s="56" t="s">
        <v>149</v>
      </c>
      <c r="D9" s="56" t="s">
        <v>150</v>
      </c>
      <c r="E9" s="56" t="s">
        <v>151</v>
      </c>
      <c r="F9" s="56" t="s">
        <v>140</v>
      </c>
      <c r="G9" s="56" t="s">
        <v>144</v>
      </c>
      <c r="H9" s="56" t="s">
        <v>152</v>
      </c>
      <c r="I9" s="56" t="s">
        <v>153</v>
      </c>
      <c r="J9" s="56" t="s">
        <v>153</v>
      </c>
      <c r="K9" s="56" t="s">
        <v>153</v>
      </c>
      <c r="L9" s="56" t="s">
        <v>154</v>
      </c>
      <c r="M9" s="56" t="s">
        <v>144</v>
      </c>
      <c r="N9" s="56" t="s">
        <v>144</v>
      </c>
      <c r="O9" s="56" t="s">
        <v>144</v>
      </c>
      <c r="P9" s="56" t="s">
        <v>144</v>
      </c>
      <c r="Q9" s="56" t="s">
        <v>144</v>
      </c>
      <c r="R9" s="61" t="s">
        <v>155</v>
      </c>
      <c r="S9" s="56" t="s">
        <v>144</v>
      </c>
      <c r="T9" s="56" t="s">
        <v>144</v>
      </c>
      <c r="U9" s="56" t="s">
        <v>144</v>
      </c>
      <c r="V9" s="56" t="s">
        <v>144</v>
      </c>
      <c r="W9" s="56"/>
      <c r="X9" s="56"/>
      <c r="Y9" s="56" t="s">
        <v>144</v>
      </c>
      <c r="Z9" s="56" t="s">
        <v>144</v>
      </c>
      <c r="AA9" s="56" t="s">
        <v>144</v>
      </c>
      <c r="AB9" s="56" t="s">
        <v>144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</row>
    <row r="10" spans="1:109" s="55" customFormat="1" ht="24">
      <c r="A10" s="58" t="s">
        <v>156</v>
      </c>
      <c r="C10" s="59" t="s">
        <v>149</v>
      </c>
      <c r="D10" s="59" t="s">
        <v>157</v>
      </c>
      <c r="E10" s="56" t="s">
        <v>158</v>
      </c>
      <c r="F10" s="56" t="s">
        <v>159</v>
      </c>
      <c r="G10" s="56" t="s">
        <v>144</v>
      </c>
      <c r="H10" s="56" t="s">
        <v>144</v>
      </c>
      <c r="I10" s="56" t="s">
        <v>158</v>
      </c>
      <c r="J10" s="56" t="s">
        <v>158</v>
      </c>
      <c r="K10" s="56" t="s">
        <v>158</v>
      </c>
      <c r="L10" s="62" t="s">
        <v>160</v>
      </c>
      <c r="M10" s="62">
        <v>39508</v>
      </c>
      <c r="N10" s="56" t="s">
        <v>144</v>
      </c>
      <c r="O10" s="56" t="s">
        <v>144</v>
      </c>
      <c r="P10" s="56" t="s">
        <v>144</v>
      </c>
      <c r="Q10" s="56" t="s">
        <v>144</v>
      </c>
      <c r="R10" s="62" t="s">
        <v>144</v>
      </c>
      <c r="S10" s="56" t="s">
        <v>144</v>
      </c>
      <c r="T10" s="56" t="s">
        <v>144</v>
      </c>
      <c r="U10" s="56" t="s">
        <v>144</v>
      </c>
      <c r="V10" s="56" t="s">
        <v>144</v>
      </c>
      <c r="W10" s="56" t="s">
        <v>144</v>
      </c>
      <c r="X10" s="56" t="s">
        <v>144</v>
      </c>
      <c r="Y10" s="56" t="s">
        <v>144</v>
      </c>
      <c r="Z10" s="56" t="s">
        <v>144</v>
      </c>
      <c r="AA10" s="56" t="s">
        <v>144</v>
      </c>
      <c r="AB10" s="56" t="s">
        <v>144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</row>
    <row r="11" spans="1:109" s="55" customFormat="1" ht="24">
      <c r="A11" s="58" t="s">
        <v>161</v>
      </c>
      <c r="C11" s="59" t="s">
        <v>162</v>
      </c>
      <c r="D11" s="59" t="s">
        <v>162</v>
      </c>
      <c r="E11" s="56" t="s">
        <v>162</v>
      </c>
      <c r="F11" s="56" t="s">
        <v>162</v>
      </c>
      <c r="G11" s="56" t="s">
        <v>163</v>
      </c>
      <c r="H11" s="56" t="s">
        <v>164</v>
      </c>
      <c r="I11" s="56" t="s">
        <v>162</v>
      </c>
      <c r="J11" s="56" t="s">
        <v>162</v>
      </c>
      <c r="K11" s="56" t="s">
        <v>162</v>
      </c>
      <c r="L11" s="56" t="s">
        <v>162</v>
      </c>
      <c r="M11" s="56" t="s">
        <v>165</v>
      </c>
      <c r="N11" s="56" t="s">
        <v>166</v>
      </c>
      <c r="O11" s="56" t="s">
        <v>166</v>
      </c>
      <c r="P11" s="56" t="s">
        <v>166</v>
      </c>
      <c r="Q11" s="56" t="s">
        <v>166</v>
      </c>
      <c r="R11" s="56" t="s">
        <v>166</v>
      </c>
      <c r="S11" s="56" t="s">
        <v>166</v>
      </c>
      <c r="T11" s="56" t="s">
        <v>166</v>
      </c>
      <c r="U11" s="56" t="s">
        <v>166</v>
      </c>
      <c r="V11" s="56" t="s">
        <v>166</v>
      </c>
      <c r="W11" s="56" t="s">
        <v>166</v>
      </c>
      <c r="X11" s="56" t="s">
        <v>166</v>
      </c>
      <c r="Y11" s="56" t="s">
        <v>166</v>
      </c>
      <c r="Z11" s="56" t="s">
        <v>166</v>
      </c>
      <c r="AA11" s="56" t="s">
        <v>166</v>
      </c>
      <c r="AB11" s="56" t="s">
        <v>166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</row>
    <row r="12" spans="1:109" s="60" customFormat="1" ht="14">
      <c r="A12" s="58" t="s">
        <v>167</v>
      </c>
      <c r="C12" s="78" t="s">
        <v>244</v>
      </c>
      <c r="D12" s="63" t="s">
        <v>243</v>
      </c>
      <c r="E12" s="78" t="s">
        <v>245</v>
      </c>
      <c r="F12" s="63" t="s">
        <v>217</v>
      </c>
      <c r="G12" s="63" t="s">
        <v>218</v>
      </c>
      <c r="H12" s="63" t="s">
        <v>231</v>
      </c>
      <c r="I12" s="63" t="s">
        <v>138</v>
      </c>
      <c r="J12" s="63" t="s">
        <v>138</v>
      </c>
      <c r="K12" s="63" t="s">
        <v>138</v>
      </c>
      <c r="L12" s="63" t="s">
        <v>191</v>
      </c>
      <c r="M12" s="64" t="s">
        <v>192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</row>
    <row r="13" spans="1:109" s="67" customFormat="1">
      <c r="A13" s="68" t="s">
        <v>230</v>
      </c>
      <c r="C13" s="69">
        <v>67.680000000000007</v>
      </c>
      <c r="D13" s="69">
        <v>88</v>
      </c>
      <c r="E13" s="70">
        <v>70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B13" s="71"/>
      <c r="BC13" s="71"/>
      <c r="BD13" s="71"/>
      <c r="BE13" s="71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</row>
    <row r="14" spans="1:109" s="67" customFormat="1">
      <c r="A14" s="68" t="s">
        <v>37</v>
      </c>
      <c r="C14" s="87">
        <v>575.28</v>
      </c>
      <c r="D14" s="87">
        <v>725</v>
      </c>
      <c r="E14" s="88">
        <v>500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6"/>
      <c r="AI14" s="86"/>
      <c r="AJ14" s="80"/>
      <c r="AK14" s="80"/>
      <c r="AL14" s="80"/>
      <c r="AM14" s="80"/>
      <c r="AN14" s="80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1"/>
      <c r="BB14" s="71"/>
      <c r="BC14" s="71"/>
      <c r="BD14" s="71"/>
      <c r="BE14" s="71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</row>
    <row r="15" spans="1:109" s="74" customFormat="1">
      <c r="A15" s="68" t="s">
        <v>38</v>
      </c>
      <c r="B15" s="67"/>
      <c r="C15" s="87">
        <f>7*C$14</f>
        <v>4026.96</v>
      </c>
      <c r="D15" s="88">
        <f>D$14</f>
        <v>725</v>
      </c>
      <c r="E15" s="88">
        <f>6*E$14</f>
        <v>3000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6"/>
      <c r="AI15" s="86"/>
      <c r="AJ15" s="80"/>
      <c r="AK15" s="80"/>
      <c r="AL15" s="80"/>
      <c r="AM15" s="80"/>
      <c r="AN15" s="80"/>
      <c r="AO15" s="73"/>
      <c r="AP15" s="73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1:109" s="52" customFormat="1">
      <c r="A16" s="51" t="s">
        <v>193</v>
      </c>
      <c r="B16" s="52">
        <v>5</v>
      </c>
      <c r="C16" s="52">
        <v>4</v>
      </c>
      <c r="D16" s="52">
        <v>5</v>
      </c>
      <c r="E16" s="52">
        <v>3</v>
      </c>
      <c r="F16" s="52">
        <v>3</v>
      </c>
      <c r="G16" s="52">
        <v>5</v>
      </c>
      <c r="H16" s="52">
        <v>3.5</v>
      </c>
      <c r="I16" s="52">
        <v>4</v>
      </c>
      <c r="J16" s="52">
        <v>4</v>
      </c>
      <c r="K16" s="52">
        <v>4</v>
      </c>
      <c r="L16" s="52">
        <v>4.5</v>
      </c>
      <c r="M16" s="52">
        <v>5</v>
      </c>
    </row>
    <row r="17" spans="1:13" s="52" customFormat="1">
      <c r="A17" s="51" t="s">
        <v>194</v>
      </c>
      <c r="B17" s="52">
        <v>3</v>
      </c>
      <c r="C17" s="52">
        <v>5</v>
      </c>
      <c r="D17" s="52">
        <v>3.5</v>
      </c>
      <c r="E17" s="52">
        <v>4</v>
      </c>
      <c r="F17" s="52">
        <v>3</v>
      </c>
      <c r="G17" s="52">
        <v>5</v>
      </c>
      <c r="H17" s="52">
        <v>2.5</v>
      </c>
      <c r="I17" s="52">
        <v>3.5</v>
      </c>
      <c r="J17" s="52">
        <v>3.5</v>
      </c>
      <c r="K17" s="52">
        <v>3.5</v>
      </c>
      <c r="L17" s="52">
        <v>3</v>
      </c>
      <c r="M17" s="52">
        <v>4</v>
      </c>
    </row>
    <row r="18" spans="1:13" s="52" customFormat="1">
      <c r="A18" s="51" t="s">
        <v>195</v>
      </c>
      <c r="B18" s="52">
        <v>3</v>
      </c>
      <c r="C18" s="52">
        <v>2</v>
      </c>
      <c r="D18" s="52">
        <v>2.5</v>
      </c>
      <c r="E18" s="52">
        <v>1</v>
      </c>
      <c r="F18" s="52">
        <v>2</v>
      </c>
      <c r="G18" s="52">
        <v>1.5</v>
      </c>
      <c r="H18" s="52">
        <v>5</v>
      </c>
      <c r="I18" s="52">
        <v>4</v>
      </c>
      <c r="J18" s="52">
        <v>4</v>
      </c>
      <c r="K18" s="52">
        <v>4</v>
      </c>
      <c r="L18" s="52">
        <v>3</v>
      </c>
      <c r="M18" s="52">
        <v>3</v>
      </c>
    </row>
    <row r="19" spans="1:13" s="34" customFormat="1">
      <c r="A19" s="53" t="s">
        <v>196</v>
      </c>
      <c r="B19" s="34">
        <v>4</v>
      </c>
      <c r="C19" s="34">
        <v>3</v>
      </c>
      <c r="D19" s="34">
        <v>4</v>
      </c>
      <c r="E19" s="34">
        <v>3</v>
      </c>
      <c r="F19" s="34">
        <v>2</v>
      </c>
      <c r="G19" s="34">
        <v>5</v>
      </c>
      <c r="H19" s="34">
        <v>5</v>
      </c>
      <c r="I19" s="34">
        <v>5</v>
      </c>
      <c r="J19" s="34">
        <v>5</v>
      </c>
      <c r="K19" s="34">
        <v>5</v>
      </c>
      <c r="L19" s="34">
        <v>5</v>
      </c>
      <c r="M19" s="34">
        <v>4</v>
      </c>
    </row>
    <row r="20" spans="1:13" s="34" customFormat="1">
      <c r="A20" s="53" t="s">
        <v>197</v>
      </c>
      <c r="B20" s="34">
        <v>3</v>
      </c>
      <c r="C20" s="34">
        <v>1.5</v>
      </c>
      <c r="D20" s="34">
        <v>3</v>
      </c>
      <c r="E20" s="34">
        <v>2</v>
      </c>
      <c r="F20" s="34">
        <v>2</v>
      </c>
      <c r="G20" s="34">
        <v>4</v>
      </c>
      <c r="H20" s="34">
        <v>4.5</v>
      </c>
      <c r="I20" s="34">
        <v>4.5</v>
      </c>
      <c r="J20" s="34">
        <v>4.5</v>
      </c>
      <c r="K20" s="34">
        <v>4.5</v>
      </c>
      <c r="L20" s="34">
        <v>4.5</v>
      </c>
      <c r="M20" s="34">
        <v>4</v>
      </c>
    </row>
    <row r="21" spans="1:13" s="34" customFormat="1">
      <c r="A21" s="53" t="s">
        <v>198</v>
      </c>
      <c r="B21" s="34">
        <v>3</v>
      </c>
      <c r="C21" s="34">
        <v>4</v>
      </c>
      <c r="D21" s="34">
        <v>3</v>
      </c>
      <c r="E21" s="34">
        <v>3</v>
      </c>
      <c r="F21" s="34">
        <v>1</v>
      </c>
      <c r="G21" s="34">
        <v>2</v>
      </c>
      <c r="H21" s="34">
        <v>2</v>
      </c>
      <c r="I21" s="34">
        <v>4</v>
      </c>
      <c r="J21" s="34">
        <v>4</v>
      </c>
      <c r="K21" s="34">
        <v>4</v>
      </c>
      <c r="L21" s="34">
        <v>4</v>
      </c>
      <c r="M21" s="34">
        <v>4.5</v>
      </c>
    </row>
    <row r="22" spans="1:13" s="34" customFormat="1">
      <c r="A22" s="53" t="s">
        <v>103</v>
      </c>
      <c r="B22" s="34">
        <v>5</v>
      </c>
      <c r="C22" s="34">
        <v>3</v>
      </c>
      <c r="D22" s="34">
        <v>3</v>
      </c>
      <c r="E22" s="34">
        <v>3</v>
      </c>
      <c r="F22" s="34">
        <v>4</v>
      </c>
      <c r="G22" s="34">
        <v>4</v>
      </c>
      <c r="H22" s="34">
        <v>1</v>
      </c>
      <c r="I22" s="34">
        <v>4.5</v>
      </c>
      <c r="J22" s="34">
        <v>3.5</v>
      </c>
      <c r="K22" s="34">
        <v>3</v>
      </c>
      <c r="L22" s="34">
        <v>5</v>
      </c>
      <c r="M22" s="34">
        <v>3</v>
      </c>
    </row>
    <row r="23" spans="1:13" s="34" customFormat="1">
      <c r="A23" s="53" t="s">
        <v>199</v>
      </c>
      <c r="B23" s="34">
        <v>3</v>
      </c>
      <c r="C23" s="34">
        <v>3</v>
      </c>
      <c r="D23" s="34">
        <v>3</v>
      </c>
      <c r="E23" s="34">
        <v>1</v>
      </c>
      <c r="F23" s="34">
        <v>5</v>
      </c>
      <c r="G23" s="34">
        <v>3</v>
      </c>
      <c r="L23" s="34">
        <v>4</v>
      </c>
      <c r="M23" s="34">
        <v>5</v>
      </c>
    </row>
    <row r="24" spans="1:13" s="76" customFormat="1">
      <c r="A24" s="77" t="s">
        <v>200</v>
      </c>
      <c r="B24" s="76">
        <v>4.5</v>
      </c>
      <c r="C24" s="76">
        <v>3</v>
      </c>
      <c r="D24" s="76">
        <v>3.5</v>
      </c>
      <c r="E24" s="76">
        <v>4</v>
      </c>
      <c r="F24" s="76">
        <v>1</v>
      </c>
      <c r="G24" s="76">
        <v>1</v>
      </c>
      <c r="I24" s="76">
        <v>5</v>
      </c>
      <c r="J24" s="76">
        <v>5</v>
      </c>
      <c r="K24" s="76">
        <v>5</v>
      </c>
      <c r="L24" s="76">
        <v>5</v>
      </c>
      <c r="M24" s="76">
        <v>5</v>
      </c>
    </row>
    <row r="25" spans="1:13" s="76" customFormat="1">
      <c r="A25" s="77" t="s">
        <v>201</v>
      </c>
      <c r="B25" s="76">
        <v>3</v>
      </c>
      <c r="C25" s="76">
        <v>3</v>
      </c>
      <c r="D25" s="76">
        <v>1</v>
      </c>
      <c r="E25" s="76">
        <v>3</v>
      </c>
      <c r="F25" s="76">
        <v>1.5</v>
      </c>
      <c r="G25" s="76">
        <v>3</v>
      </c>
      <c r="I25" s="76">
        <v>4.5</v>
      </c>
      <c r="J25" s="76">
        <v>4.5</v>
      </c>
      <c r="K25" s="76">
        <v>4.5</v>
      </c>
      <c r="L25" s="76">
        <v>3</v>
      </c>
      <c r="M25" s="76">
        <v>3</v>
      </c>
    </row>
    <row r="26" spans="1:13" s="76" customFormat="1">
      <c r="A26" s="77" t="s">
        <v>202</v>
      </c>
      <c r="B26" s="76">
        <v>1</v>
      </c>
      <c r="C26" s="76">
        <v>1</v>
      </c>
      <c r="D26" s="76">
        <v>1</v>
      </c>
      <c r="E26" s="76">
        <v>1</v>
      </c>
      <c r="F26" s="76">
        <v>1</v>
      </c>
      <c r="G26" s="76">
        <v>1</v>
      </c>
      <c r="H26" s="76">
        <v>1</v>
      </c>
      <c r="L26" s="76">
        <v>1</v>
      </c>
      <c r="M26" s="76">
        <v>1</v>
      </c>
    </row>
    <row r="27" spans="1:13" s="76" customFormat="1">
      <c r="A27" s="77" t="s">
        <v>203</v>
      </c>
      <c r="B27" s="76">
        <v>1</v>
      </c>
      <c r="C27" s="76">
        <v>1</v>
      </c>
      <c r="D27" s="76">
        <v>1</v>
      </c>
      <c r="E27" s="76">
        <v>3</v>
      </c>
      <c r="F27" s="76">
        <v>1</v>
      </c>
      <c r="G27" s="76">
        <v>1</v>
      </c>
      <c r="H27" s="76">
        <v>1</v>
      </c>
      <c r="I27" s="76">
        <v>3</v>
      </c>
      <c r="J27" s="76">
        <v>3</v>
      </c>
      <c r="K27" s="76">
        <v>3</v>
      </c>
      <c r="L27" s="76">
        <v>3.5</v>
      </c>
      <c r="M27" s="76">
        <v>3</v>
      </c>
    </row>
    <row r="28" spans="1:13" s="76" customFormat="1">
      <c r="A28" s="77" t="s">
        <v>204</v>
      </c>
      <c r="B28" s="76">
        <v>2</v>
      </c>
      <c r="C28" s="76">
        <v>1</v>
      </c>
      <c r="D28" s="76">
        <v>1</v>
      </c>
      <c r="E28" s="76">
        <v>2</v>
      </c>
      <c r="F28" s="76">
        <v>1</v>
      </c>
      <c r="G28" s="76">
        <v>2</v>
      </c>
      <c r="I28" s="76">
        <v>1</v>
      </c>
      <c r="J28" s="76">
        <v>1</v>
      </c>
      <c r="K28" s="76">
        <v>1</v>
      </c>
      <c r="L28" s="76">
        <v>2.5</v>
      </c>
      <c r="M28" s="76">
        <v>3</v>
      </c>
    </row>
    <row r="29" spans="1:13" s="76" customFormat="1">
      <c r="A29" s="77" t="s">
        <v>205</v>
      </c>
      <c r="B29" s="76">
        <v>5</v>
      </c>
      <c r="C29" s="76">
        <v>2</v>
      </c>
      <c r="D29" s="76">
        <v>3</v>
      </c>
      <c r="E29" s="76">
        <v>2</v>
      </c>
      <c r="F29" s="76">
        <v>1</v>
      </c>
      <c r="G29" s="76">
        <v>3</v>
      </c>
      <c r="I29" s="76">
        <v>3</v>
      </c>
      <c r="J29" s="76">
        <v>3</v>
      </c>
      <c r="K29" s="76">
        <v>3</v>
      </c>
      <c r="L29" s="76">
        <v>4.5</v>
      </c>
      <c r="M29" s="76">
        <v>3</v>
      </c>
    </row>
    <row r="30" spans="1:13" s="76" customFormat="1">
      <c r="A30" s="77" t="s">
        <v>206</v>
      </c>
      <c r="B30" s="76">
        <v>2</v>
      </c>
      <c r="C30" s="76">
        <v>1</v>
      </c>
      <c r="D30" s="76">
        <v>2.5</v>
      </c>
      <c r="E30" s="76">
        <v>1</v>
      </c>
      <c r="F30" s="76">
        <v>1</v>
      </c>
      <c r="G30" s="76">
        <v>1</v>
      </c>
      <c r="H30" s="76">
        <v>5</v>
      </c>
      <c r="I30" s="76">
        <v>1</v>
      </c>
      <c r="J30" s="76">
        <v>1</v>
      </c>
      <c r="K30" s="76">
        <v>1</v>
      </c>
      <c r="L30" s="76">
        <v>1</v>
      </c>
      <c r="M30" s="76">
        <v>1</v>
      </c>
    </row>
    <row r="31" spans="1:13" s="76" customFormat="1">
      <c r="A31" s="77" t="s">
        <v>207</v>
      </c>
      <c r="B31" s="76">
        <v>3</v>
      </c>
      <c r="C31" s="76">
        <v>1.5</v>
      </c>
      <c r="D31" s="76">
        <v>2</v>
      </c>
      <c r="E31" s="76">
        <v>2</v>
      </c>
      <c r="F31" s="76">
        <v>1</v>
      </c>
      <c r="G31" s="76">
        <v>1</v>
      </c>
      <c r="I31" s="76" t="s">
        <v>110</v>
      </c>
      <c r="J31" s="76" t="s">
        <v>110</v>
      </c>
      <c r="K31" s="76" t="s">
        <v>208</v>
      </c>
      <c r="L31" s="76">
        <v>3.5</v>
      </c>
      <c r="M31" s="76">
        <v>3</v>
      </c>
    </row>
    <row r="32" spans="1:13" s="76" customFormat="1">
      <c r="A32" s="77" t="s">
        <v>209</v>
      </c>
      <c r="B32" s="76">
        <v>3</v>
      </c>
      <c r="C32" s="76">
        <v>3</v>
      </c>
      <c r="D32" s="76">
        <v>2</v>
      </c>
      <c r="E32" s="76">
        <v>3</v>
      </c>
      <c r="F32" s="76">
        <v>1</v>
      </c>
      <c r="G32" s="76">
        <v>1</v>
      </c>
      <c r="H32" s="76">
        <v>1</v>
      </c>
      <c r="I32" s="76">
        <v>5</v>
      </c>
      <c r="J32" s="76">
        <v>4</v>
      </c>
      <c r="K32" s="76">
        <v>4</v>
      </c>
      <c r="L32" s="76">
        <v>4</v>
      </c>
      <c r="M32" s="76">
        <v>1</v>
      </c>
    </row>
    <row r="33" spans="1:13" s="76" customFormat="1">
      <c r="A33" s="77" t="s">
        <v>210</v>
      </c>
      <c r="B33" s="76">
        <v>2</v>
      </c>
      <c r="C33" s="76">
        <v>3</v>
      </c>
      <c r="D33" s="76">
        <v>3</v>
      </c>
      <c r="E33" s="76">
        <v>3</v>
      </c>
      <c r="F33" s="76">
        <v>1</v>
      </c>
      <c r="G33" s="76">
        <v>1</v>
      </c>
      <c r="H33" s="76">
        <v>1</v>
      </c>
      <c r="L33" s="76">
        <v>1</v>
      </c>
      <c r="M33" s="76">
        <v>1</v>
      </c>
    </row>
    <row r="34" spans="1:13" s="35" customFormat="1">
      <c r="A34" s="39" t="s">
        <v>211</v>
      </c>
      <c r="B34" s="35">
        <v>5</v>
      </c>
      <c r="C34" s="35">
        <v>1</v>
      </c>
      <c r="D34" s="35">
        <v>4</v>
      </c>
      <c r="E34" s="35">
        <v>4</v>
      </c>
      <c r="F34" s="35">
        <v>1</v>
      </c>
      <c r="G34" s="35">
        <v>2.5</v>
      </c>
      <c r="H34" s="35">
        <v>5</v>
      </c>
      <c r="I34" s="35">
        <v>4.5</v>
      </c>
      <c r="J34" s="35">
        <v>3.5</v>
      </c>
      <c r="K34" s="35">
        <v>4</v>
      </c>
      <c r="L34" s="35">
        <v>4</v>
      </c>
      <c r="M34" s="35">
        <v>2.5</v>
      </c>
    </row>
    <row r="35" spans="1:13" s="35" customFormat="1">
      <c r="A35" s="39" t="s">
        <v>212</v>
      </c>
      <c r="B35" s="35">
        <v>3</v>
      </c>
      <c r="C35" s="35">
        <v>2</v>
      </c>
      <c r="D35" s="35">
        <v>5</v>
      </c>
      <c r="E35" s="35">
        <v>2</v>
      </c>
      <c r="F35" s="35">
        <v>3.5</v>
      </c>
      <c r="G35" s="35">
        <v>4</v>
      </c>
      <c r="H35" s="35">
        <v>5</v>
      </c>
      <c r="I35" s="35">
        <v>4</v>
      </c>
      <c r="J35" s="35">
        <v>3.5</v>
      </c>
      <c r="K35" s="35">
        <v>3</v>
      </c>
      <c r="L35" s="35">
        <v>5</v>
      </c>
      <c r="M35" s="35">
        <v>4</v>
      </c>
    </row>
    <row r="36" spans="1:13" s="35" customFormat="1">
      <c r="A36" s="39" t="s">
        <v>213</v>
      </c>
      <c r="B36" s="35">
        <v>3.5</v>
      </c>
      <c r="C36" s="35">
        <v>3</v>
      </c>
      <c r="D36" s="35">
        <v>3</v>
      </c>
      <c r="E36" s="35">
        <v>3</v>
      </c>
      <c r="F36" s="35">
        <v>4</v>
      </c>
      <c r="G36" s="35">
        <v>3</v>
      </c>
      <c r="I36" s="35">
        <v>3</v>
      </c>
      <c r="J36" s="35">
        <v>3</v>
      </c>
      <c r="K36" s="35">
        <v>3</v>
      </c>
      <c r="L36" s="35">
        <v>3</v>
      </c>
      <c r="M36" s="35">
        <v>4.5</v>
      </c>
    </row>
    <row r="37" spans="1:13" s="35" customFormat="1">
      <c r="A37" s="39" t="s">
        <v>214</v>
      </c>
      <c r="B37" s="35">
        <v>4</v>
      </c>
      <c r="C37" s="35">
        <v>3</v>
      </c>
      <c r="D37" s="35">
        <v>3</v>
      </c>
      <c r="E37" s="35">
        <v>3</v>
      </c>
      <c r="F37" s="35">
        <v>4</v>
      </c>
      <c r="G37" s="35">
        <v>3</v>
      </c>
      <c r="I37" s="35">
        <v>3</v>
      </c>
      <c r="J37" s="35">
        <v>3</v>
      </c>
      <c r="K37" s="35">
        <v>3</v>
      </c>
      <c r="L37" s="35">
        <v>3</v>
      </c>
      <c r="M37" s="35">
        <v>4.5</v>
      </c>
    </row>
    <row r="38" spans="1:13">
      <c r="A38" s="40"/>
    </row>
    <row r="39" spans="1:13">
      <c r="A39" s="40"/>
    </row>
    <row r="40" spans="1:13">
      <c r="A40" s="40"/>
    </row>
    <row r="41" spans="1:13">
      <c r="A41" s="40"/>
    </row>
    <row r="42" spans="1:13">
      <c r="A42" s="40"/>
    </row>
    <row r="43" spans="1:13">
      <c r="A43" s="40"/>
    </row>
    <row r="44" spans="1:13">
      <c r="A44" s="40"/>
    </row>
    <row r="45" spans="1:13">
      <c r="A45" s="40"/>
    </row>
    <row r="46" spans="1:13">
      <c r="A46" s="40"/>
    </row>
    <row r="47" spans="1:13">
      <c r="A47" s="40"/>
    </row>
    <row r="48" spans="1:13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  <row r="54" spans="1:1">
      <c r="A54" s="40"/>
    </row>
    <row r="55" spans="1:1">
      <c r="A55" s="40"/>
    </row>
  </sheetData>
  <phoneticPr fontId="5" type="noConversion"/>
  <hyperlinks>
    <hyperlink ref="R9" r:id="rId1"/>
    <hyperlink ref="C12" r:id="rId2" location="lindwurmstrasse_poccistr"/>
    <hyperlink ref="D12" r:id="rId3" location="schwanthalerstr"/>
    <hyperlink ref="E12" r:id="rId4" location="blumenstr._nahe_registratur"/>
    <hyperlink ref="F12" r:id="rId5" location="schupppen_lindwurmstr"/>
    <hyperlink ref="G12" r:id="rId6" location="wohnung_schillerstr._34"/>
    <hyperlink ref="H12" r:id="rId7" location="bunker_in_riem"/>
    <hyperlink ref="I12" r:id="rId8" location="neue_balan"/>
    <hyperlink ref="J12" r:id="rId9" location="neue_balan"/>
    <hyperlink ref="K12" r:id="rId10" location="neue_balan"/>
    <hyperlink ref="L12" r:id="rId11" location="laborators_in_schwabing"/>
    <hyperlink ref="M12" r:id="rId12" location="r-kuenstlerhaus_in_pasing"/>
  </hyperlinks>
  <pageMargins left="0.70866141732283472" right="0.70866141732283472" top="0.78740157480314965" bottom="0.78740157480314965" header="0.31496062992125984" footer="0.31496062992125984"/>
  <headerFooter scaleWithDoc="0"/>
  <drawing r:id="rId1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67"/>
  <sheetViews>
    <sheetView workbookViewId="0">
      <selection activeCell="A67" sqref="A67:XFD67"/>
    </sheetView>
  </sheetViews>
  <sheetFormatPr baseColWidth="10" defaultColWidth="11.5" defaultRowHeight="12"/>
  <cols>
    <col min="1" max="1" width="2" customWidth="1"/>
    <col min="2" max="2" width="2.33203125" customWidth="1"/>
    <col min="3" max="3" width="14" bestFit="1" customWidth="1"/>
    <col min="4" max="4" width="24.33203125" bestFit="1" customWidth="1"/>
    <col min="5" max="5" width="7.83203125" bestFit="1" customWidth="1"/>
    <col min="6" max="6" width="10.1640625" bestFit="1" customWidth="1"/>
    <col min="7" max="7" width="11.33203125" bestFit="1" customWidth="1"/>
    <col min="8" max="8" width="7.83203125" bestFit="1" customWidth="1"/>
  </cols>
  <sheetData>
    <row r="1" spans="1:8" ht="15">
      <c r="A1" s="1" t="s">
        <v>89</v>
      </c>
    </row>
    <row r="2" spans="1:8" ht="15">
      <c r="B2" s="1" t="s">
        <v>90</v>
      </c>
    </row>
    <row r="3" spans="1:8">
      <c r="C3" s="4"/>
      <c r="D3" s="4" t="s">
        <v>91</v>
      </c>
      <c r="E3" s="4" t="s">
        <v>180</v>
      </c>
      <c r="F3" s="4" t="s">
        <v>92</v>
      </c>
      <c r="G3" s="4" t="s">
        <v>93</v>
      </c>
      <c r="H3" s="4" t="s">
        <v>94</v>
      </c>
    </row>
    <row r="4" spans="1:8">
      <c r="C4" s="6" t="s">
        <v>39</v>
      </c>
      <c r="D4" s="6"/>
      <c r="E4" s="6"/>
      <c r="F4" s="6"/>
      <c r="G4" s="17">
        <f ca="1">G5+G16+G28+G49</f>
        <v>8811</v>
      </c>
      <c r="H4" s="18">
        <v>1</v>
      </c>
    </row>
    <row r="5" spans="1:8">
      <c r="C5" s="4" t="s">
        <v>40</v>
      </c>
      <c r="D5" s="4"/>
      <c r="E5" s="4"/>
      <c r="F5" s="4"/>
      <c r="G5" s="19">
        <f>SUM(G6:G15)</f>
        <v>905</v>
      </c>
      <c r="H5" s="20">
        <f ca="1">G5/G$4</f>
        <v>0.10271251844285552</v>
      </c>
    </row>
    <row r="6" spans="1:8">
      <c r="C6" t="s">
        <v>41</v>
      </c>
      <c r="D6" t="s">
        <v>42</v>
      </c>
      <c r="E6" s="14">
        <f>ROUNDUP(Kalkulation!D30/3,0)</f>
        <v>5</v>
      </c>
      <c r="F6" s="11">
        <v>20</v>
      </c>
      <c r="G6" s="21">
        <f t="shared" ref="G6:G15" si="0">E6*F6</f>
        <v>100</v>
      </c>
      <c r="H6" s="16">
        <f t="shared" ref="H6:H15" si="1">G6/G$5</f>
        <v>0.11049723756906077</v>
      </c>
    </row>
    <row r="7" spans="1:8">
      <c r="D7" t="s">
        <v>43</v>
      </c>
      <c r="E7" s="9">
        <v>4</v>
      </c>
      <c r="F7" s="11">
        <v>40</v>
      </c>
      <c r="G7" s="21">
        <f t="shared" si="0"/>
        <v>160</v>
      </c>
      <c r="H7" s="16">
        <f t="shared" si="1"/>
        <v>0.17679558011049723</v>
      </c>
    </row>
    <row r="8" spans="1:8">
      <c r="D8" t="s">
        <v>44</v>
      </c>
      <c r="E8" s="9">
        <v>1</v>
      </c>
      <c r="F8" s="11">
        <v>50</v>
      </c>
      <c r="G8" s="21">
        <f t="shared" si="0"/>
        <v>50</v>
      </c>
      <c r="H8" s="16">
        <f t="shared" si="1"/>
        <v>5.5248618784530384E-2</v>
      </c>
    </row>
    <row r="9" spans="1:8">
      <c r="D9" t="s">
        <v>45</v>
      </c>
      <c r="E9" s="9">
        <v>1</v>
      </c>
      <c r="F9" s="11">
        <v>20</v>
      </c>
      <c r="G9" s="21">
        <f t="shared" si="0"/>
        <v>20</v>
      </c>
      <c r="H9" s="16">
        <f t="shared" si="1"/>
        <v>2.2099447513812154E-2</v>
      </c>
    </row>
    <row r="10" spans="1:8">
      <c r="D10" t="s">
        <v>46</v>
      </c>
      <c r="E10" s="9">
        <v>1</v>
      </c>
      <c r="F10" s="11">
        <v>50</v>
      </c>
      <c r="G10" s="21">
        <f t="shared" si="0"/>
        <v>50</v>
      </c>
      <c r="H10" s="16">
        <f t="shared" si="1"/>
        <v>5.5248618784530384E-2</v>
      </c>
    </row>
    <row r="11" spans="1:8">
      <c r="C11" t="s">
        <v>41</v>
      </c>
      <c r="D11" t="s">
        <v>9</v>
      </c>
      <c r="E11" s="9">
        <v>3</v>
      </c>
      <c r="F11" s="11">
        <v>50</v>
      </c>
      <c r="G11" s="21">
        <f t="shared" si="0"/>
        <v>150</v>
      </c>
      <c r="H11" s="16">
        <f t="shared" si="1"/>
        <v>0.16574585635359115</v>
      </c>
    </row>
    <row r="12" spans="1:8">
      <c r="C12" t="s">
        <v>41</v>
      </c>
      <c r="D12" t="s">
        <v>10</v>
      </c>
      <c r="E12" s="9">
        <v>3</v>
      </c>
      <c r="F12" s="11">
        <v>50</v>
      </c>
      <c r="G12" s="21">
        <f t="shared" si="0"/>
        <v>150</v>
      </c>
      <c r="H12" s="16">
        <f t="shared" si="1"/>
        <v>0.16574585635359115</v>
      </c>
    </row>
    <row r="13" spans="1:8">
      <c r="D13" t="s">
        <v>11</v>
      </c>
      <c r="E13" s="9">
        <v>1</v>
      </c>
      <c r="F13" s="11">
        <v>15</v>
      </c>
      <c r="G13" s="21">
        <f t="shared" si="0"/>
        <v>15</v>
      </c>
      <c r="H13" s="16">
        <f t="shared" si="1"/>
        <v>1.6574585635359115E-2</v>
      </c>
    </row>
    <row r="14" spans="1:8">
      <c r="D14" t="s">
        <v>12</v>
      </c>
      <c r="E14" s="9">
        <v>1</v>
      </c>
      <c r="F14" s="11">
        <v>150</v>
      </c>
      <c r="G14" s="21">
        <f t="shared" si="0"/>
        <v>150</v>
      </c>
      <c r="H14" s="16">
        <f t="shared" si="1"/>
        <v>0.16574585635359115</v>
      </c>
    </row>
    <row r="15" spans="1:8">
      <c r="D15" t="s">
        <v>13</v>
      </c>
      <c r="E15" s="9">
        <v>3</v>
      </c>
      <c r="F15" s="11">
        <v>20</v>
      </c>
      <c r="G15" s="21">
        <f t="shared" si="0"/>
        <v>60</v>
      </c>
      <c r="H15" s="16">
        <f t="shared" si="1"/>
        <v>6.6298342541436461E-2</v>
      </c>
    </row>
    <row r="16" spans="1:8">
      <c r="C16" s="4" t="s">
        <v>14</v>
      </c>
      <c r="D16" s="4"/>
      <c r="E16" s="4"/>
      <c r="F16" s="4"/>
      <c r="G16" s="19">
        <f>SUM(G17:G27)</f>
        <v>2349</v>
      </c>
      <c r="H16" s="20">
        <f ca="1">G16/G$4</f>
        <v>0.26659856996935649</v>
      </c>
    </row>
    <row r="17" spans="3:8">
      <c r="D17" t="s">
        <v>15</v>
      </c>
      <c r="E17" s="9">
        <v>1</v>
      </c>
      <c r="F17" s="11">
        <v>400</v>
      </c>
      <c r="G17" s="21">
        <f t="shared" ref="G17:G27" si="2">E17*F17</f>
        <v>400</v>
      </c>
      <c r="H17" s="16">
        <f t="shared" ref="H17:H27" si="3">G17/G$16</f>
        <v>0.17028522775649213</v>
      </c>
    </row>
    <row r="18" spans="3:8">
      <c r="D18" t="s">
        <v>16</v>
      </c>
      <c r="E18" s="9">
        <v>10</v>
      </c>
      <c r="F18" s="11">
        <v>3</v>
      </c>
      <c r="G18" s="21">
        <f t="shared" si="2"/>
        <v>30</v>
      </c>
      <c r="H18" s="16">
        <f t="shared" si="3"/>
        <v>1.277139208173691E-2</v>
      </c>
    </row>
    <row r="19" spans="3:8">
      <c r="D19" t="s">
        <v>17</v>
      </c>
      <c r="E19" s="9">
        <v>2</v>
      </c>
      <c r="F19" s="11">
        <v>30</v>
      </c>
      <c r="G19" s="21">
        <f t="shared" si="2"/>
        <v>60</v>
      </c>
      <c r="H19" s="16">
        <f t="shared" si="3"/>
        <v>2.554278416347382E-2</v>
      </c>
    </row>
    <row r="20" spans="3:8">
      <c r="D20" t="s">
        <v>18</v>
      </c>
      <c r="E20" s="9">
        <v>1</v>
      </c>
      <c r="F20" s="11">
        <v>50</v>
      </c>
      <c r="G20" s="21">
        <f t="shared" si="2"/>
        <v>50</v>
      </c>
      <c r="H20" s="16">
        <f t="shared" si="3"/>
        <v>2.1285653469561516E-2</v>
      </c>
    </row>
    <row r="21" spans="3:8">
      <c r="D21" t="s">
        <v>19</v>
      </c>
      <c r="E21" s="9">
        <v>1</v>
      </c>
      <c r="F21" s="11">
        <v>30</v>
      </c>
      <c r="G21" s="21">
        <f t="shared" si="2"/>
        <v>30</v>
      </c>
      <c r="H21" s="16">
        <f t="shared" si="3"/>
        <v>1.277139208173691E-2</v>
      </c>
    </row>
    <row r="22" spans="3:8">
      <c r="C22" t="s">
        <v>20</v>
      </c>
      <c r="D22" t="s">
        <v>21</v>
      </c>
      <c r="E22" s="9">
        <v>1</v>
      </c>
      <c r="F22" s="11">
        <v>300</v>
      </c>
      <c r="G22" s="21">
        <f t="shared" si="2"/>
        <v>300</v>
      </c>
      <c r="H22" s="16">
        <f t="shared" si="3"/>
        <v>0.1277139208173691</v>
      </c>
    </row>
    <row r="23" spans="3:8">
      <c r="C23" t="s">
        <v>20</v>
      </c>
      <c r="D23" t="s">
        <v>22</v>
      </c>
      <c r="E23" s="9">
        <v>1</v>
      </c>
      <c r="F23" s="11">
        <v>100</v>
      </c>
      <c r="G23" s="21">
        <f t="shared" si="2"/>
        <v>100</v>
      </c>
      <c r="H23" s="16">
        <f t="shared" si="3"/>
        <v>4.2571306939123033E-2</v>
      </c>
    </row>
    <row r="24" spans="3:8">
      <c r="D24" t="s">
        <v>23</v>
      </c>
      <c r="E24" s="14">
        <f>Kalkulation!D31-Kalkulation!D30</f>
        <v>34</v>
      </c>
      <c r="F24" s="11">
        <v>35</v>
      </c>
      <c r="G24" s="21">
        <f t="shared" si="2"/>
        <v>1190</v>
      </c>
      <c r="H24" s="16">
        <f t="shared" si="3"/>
        <v>0.50659855257556408</v>
      </c>
    </row>
    <row r="25" spans="3:8">
      <c r="D25" t="s">
        <v>24</v>
      </c>
      <c r="E25" s="14">
        <f>Kalkulation!D30</f>
        <v>13</v>
      </c>
      <c r="F25" s="11">
        <v>3</v>
      </c>
      <c r="G25" s="21">
        <f t="shared" si="2"/>
        <v>39</v>
      </c>
      <c r="H25" s="16">
        <f t="shared" si="3"/>
        <v>1.6602809706257982E-2</v>
      </c>
    </row>
    <row r="26" spans="3:8">
      <c r="D26" t="s">
        <v>25</v>
      </c>
      <c r="E26" s="14">
        <v>10</v>
      </c>
      <c r="F26" s="11">
        <v>5</v>
      </c>
      <c r="G26" s="21">
        <f t="shared" si="2"/>
        <v>50</v>
      </c>
      <c r="H26" s="16">
        <f t="shared" si="3"/>
        <v>2.1285653469561516E-2</v>
      </c>
    </row>
    <row r="27" spans="3:8">
      <c r="D27" t="s">
        <v>26</v>
      </c>
      <c r="E27" s="9">
        <v>5</v>
      </c>
      <c r="F27" s="11">
        <v>20</v>
      </c>
      <c r="G27" s="21">
        <f t="shared" si="2"/>
        <v>100</v>
      </c>
      <c r="H27" s="16">
        <f t="shared" si="3"/>
        <v>4.2571306939123033E-2</v>
      </c>
    </row>
    <row r="28" spans="3:8">
      <c r="C28" s="4" t="s">
        <v>27</v>
      </c>
      <c r="D28" s="4"/>
      <c r="E28" s="4"/>
      <c r="F28" s="4"/>
      <c r="G28" s="19">
        <f>SUM(G29:G48)</f>
        <v>2094</v>
      </c>
      <c r="H28" s="20">
        <f ca="1">G28/G$4</f>
        <v>0.23765747361252978</v>
      </c>
    </row>
    <row r="29" spans="3:8">
      <c r="D29" t="s">
        <v>28</v>
      </c>
      <c r="E29" s="9">
        <v>1</v>
      </c>
      <c r="F29" s="11">
        <v>125</v>
      </c>
      <c r="G29" s="21">
        <f t="shared" ref="G29:G48" si="4">E29*F29</f>
        <v>125</v>
      </c>
      <c r="H29" s="16">
        <f>G29/G$28</f>
        <v>5.9694364851957976E-2</v>
      </c>
    </row>
    <row r="30" spans="3:8">
      <c r="D30" t="s">
        <v>87</v>
      </c>
      <c r="E30" s="9">
        <v>1</v>
      </c>
      <c r="F30" s="11">
        <v>150</v>
      </c>
      <c r="G30" s="21">
        <f t="shared" si="4"/>
        <v>150</v>
      </c>
      <c r="H30" s="16">
        <f>G30/G$28</f>
        <v>7.1633237822349566E-2</v>
      </c>
    </row>
    <row r="31" spans="3:8">
      <c r="D31" t="s">
        <v>29</v>
      </c>
      <c r="E31" s="9">
        <v>7</v>
      </c>
      <c r="F31" s="11">
        <v>20</v>
      </c>
      <c r="G31" s="21">
        <f t="shared" si="4"/>
        <v>140</v>
      </c>
      <c r="H31" s="16">
        <f>G31/G$28</f>
        <v>6.6857688634192933E-2</v>
      </c>
    </row>
    <row r="32" spans="3:8">
      <c r="D32" t="s">
        <v>30</v>
      </c>
      <c r="E32" s="14">
        <f>ROUNDUP(Kalkulation!D31/2,0)</f>
        <v>24</v>
      </c>
      <c r="F32" s="11">
        <v>10</v>
      </c>
      <c r="G32" s="21">
        <f t="shared" si="4"/>
        <v>240</v>
      </c>
      <c r="H32" s="16">
        <f>G32/G$16</f>
        <v>0.10217113665389528</v>
      </c>
    </row>
    <row r="33" spans="3:8">
      <c r="D33" t="s">
        <v>31</v>
      </c>
      <c r="E33" s="14">
        <f>Kalkulation!D30</f>
        <v>13</v>
      </c>
      <c r="F33" s="11">
        <v>2</v>
      </c>
      <c r="G33" s="21">
        <f t="shared" si="4"/>
        <v>26</v>
      </c>
      <c r="H33" s="16">
        <f>G33/G$16</f>
        <v>1.1068539804171988E-2</v>
      </c>
    </row>
    <row r="34" spans="3:8">
      <c r="D34" t="s">
        <v>32</v>
      </c>
      <c r="E34" s="14">
        <f>ROUNDUP(Kalkulation!D31/2,0)</f>
        <v>24</v>
      </c>
      <c r="F34" s="11">
        <v>7</v>
      </c>
      <c r="G34" s="21">
        <f t="shared" si="4"/>
        <v>168</v>
      </c>
      <c r="H34" s="16">
        <f>G34/G$16</f>
        <v>7.151979565772669E-2</v>
      </c>
    </row>
    <row r="35" spans="3:8">
      <c r="C35" t="s">
        <v>232</v>
      </c>
      <c r="D35" t="s">
        <v>233</v>
      </c>
      <c r="E35" s="9">
        <v>1</v>
      </c>
      <c r="F35" s="11">
        <v>100</v>
      </c>
      <c r="G35" s="21">
        <f t="shared" si="4"/>
        <v>100</v>
      </c>
      <c r="H35" s="16">
        <f>G35/G$5</f>
        <v>0.11049723756906077</v>
      </c>
    </row>
    <row r="36" spans="3:8">
      <c r="C36" t="s">
        <v>232</v>
      </c>
      <c r="D36" t="s">
        <v>234</v>
      </c>
      <c r="E36" s="14">
        <f>Kalkulation!$D$23</f>
        <v>10</v>
      </c>
      <c r="F36" s="11">
        <v>25</v>
      </c>
      <c r="G36" s="21">
        <f t="shared" si="4"/>
        <v>250</v>
      </c>
      <c r="H36" s="16">
        <f>G36/G$5</f>
        <v>0.27624309392265195</v>
      </c>
    </row>
    <row r="37" spans="3:8">
      <c r="C37" t="s">
        <v>20</v>
      </c>
      <c r="D37" t="s">
        <v>235</v>
      </c>
      <c r="E37" s="9">
        <v>1</v>
      </c>
      <c r="F37" s="11">
        <v>75</v>
      </c>
      <c r="G37" s="21">
        <f t="shared" si="4"/>
        <v>75</v>
      </c>
      <c r="H37" s="16">
        <f t="shared" ref="H37:H48" si="5">G37/G$28</f>
        <v>3.5816618911174783E-2</v>
      </c>
    </row>
    <row r="38" spans="3:8">
      <c r="D38" t="s">
        <v>236</v>
      </c>
      <c r="E38" s="9">
        <v>1</v>
      </c>
      <c r="F38" s="11">
        <v>50</v>
      </c>
      <c r="G38" s="21">
        <f t="shared" si="4"/>
        <v>50</v>
      </c>
      <c r="H38" s="16">
        <f t="shared" si="5"/>
        <v>2.387774594078319E-2</v>
      </c>
    </row>
    <row r="39" spans="3:8">
      <c r="C39" t="s">
        <v>20</v>
      </c>
      <c r="D39" t="s">
        <v>237</v>
      </c>
      <c r="E39" s="9">
        <v>1</v>
      </c>
      <c r="F39" s="11">
        <v>50</v>
      </c>
      <c r="G39" s="21">
        <f t="shared" si="4"/>
        <v>50</v>
      </c>
      <c r="H39" s="16">
        <f t="shared" si="5"/>
        <v>2.387774594078319E-2</v>
      </c>
    </row>
    <row r="40" spans="3:8">
      <c r="D40" t="s">
        <v>74</v>
      </c>
      <c r="E40" s="9">
        <v>1</v>
      </c>
      <c r="F40" s="11">
        <v>60</v>
      </c>
      <c r="G40" s="21">
        <f t="shared" si="4"/>
        <v>60</v>
      </c>
      <c r="H40" s="16">
        <f t="shared" si="5"/>
        <v>2.865329512893983E-2</v>
      </c>
    </row>
    <row r="41" spans="3:8">
      <c r="D41" t="s">
        <v>238</v>
      </c>
      <c r="E41" s="9">
        <v>1</v>
      </c>
      <c r="F41" s="11">
        <v>150</v>
      </c>
      <c r="G41" s="21">
        <f t="shared" si="4"/>
        <v>150</v>
      </c>
      <c r="H41" s="16">
        <f t="shared" si="5"/>
        <v>7.1633237822349566E-2</v>
      </c>
    </row>
    <row r="42" spans="3:8">
      <c r="C42" t="s">
        <v>20</v>
      </c>
      <c r="D42" t="s">
        <v>75</v>
      </c>
      <c r="E42" s="9">
        <v>1</v>
      </c>
      <c r="F42" s="11">
        <v>75</v>
      </c>
      <c r="G42" s="21">
        <f t="shared" si="4"/>
        <v>75</v>
      </c>
      <c r="H42" s="16">
        <f t="shared" si="5"/>
        <v>3.5816618911174783E-2</v>
      </c>
    </row>
    <row r="43" spans="3:8">
      <c r="C43" t="s">
        <v>76</v>
      </c>
      <c r="D43" t="s">
        <v>77</v>
      </c>
      <c r="E43" s="9">
        <v>3</v>
      </c>
      <c r="F43" s="11">
        <v>50</v>
      </c>
      <c r="G43" s="21">
        <f t="shared" si="4"/>
        <v>150</v>
      </c>
      <c r="H43" s="16">
        <f t="shared" si="5"/>
        <v>7.1633237822349566E-2</v>
      </c>
    </row>
    <row r="44" spans="3:8">
      <c r="D44" t="s">
        <v>78</v>
      </c>
      <c r="E44" s="9">
        <v>1</v>
      </c>
      <c r="F44" s="11">
        <v>50</v>
      </c>
      <c r="G44" s="21">
        <f t="shared" si="4"/>
        <v>50</v>
      </c>
      <c r="H44" s="16">
        <f t="shared" si="5"/>
        <v>2.387774594078319E-2</v>
      </c>
    </row>
    <row r="45" spans="3:8">
      <c r="D45" t="s">
        <v>82</v>
      </c>
      <c r="E45" s="9">
        <v>1</v>
      </c>
      <c r="F45" s="11">
        <v>75</v>
      </c>
      <c r="G45" s="21">
        <f t="shared" si="4"/>
        <v>75</v>
      </c>
      <c r="H45" s="16">
        <f t="shared" si="5"/>
        <v>3.5816618911174783E-2</v>
      </c>
    </row>
    <row r="46" spans="3:8">
      <c r="D46" t="s">
        <v>79</v>
      </c>
      <c r="E46" s="9">
        <v>1</v>
      </c>
      <c r="F46" s="11">
        <v>30</v>
      </c>
      <c r="G46" s="21">
        <f t="shared" si="4"/>
        <v>30</v>
      </c>
      <c r="H46" s="16">
        <f t="shared" si="5"/>
        <v>1.4326647564469915E-2</v>
      </c>
    </row>
    <row r="47" spans="3:8">
      <c r="D47" t="s">
        <v>83</v>
      </c>
      <c r="E47" s="9">
        <v>1</v>
      </c>
      <c r="F47" s="11">
        <v>30</v>
      </c>
      <c r="G47" s="21">
        <f t="shared" si="4"/>
        <v>30</v>
      </c>
      <c r="H47" s="16">
        <f t="shared" si="5"/>
        <v>1.4326647564469915E-2</v>
      </c>
    </row>
    <row r="48" spans="3:8">
      <c r="D48" t="s">
        <v>81</v>
      </c>
      <c r="E48" s="9">
        <v>1</v>
      </c>
      <c r="F48" s="11">
        <v>100</v>
      </c>
      <c r="G48" s="21">
        <f t="shared" si="4"/>
        <v>100</v>
      </c>
      <c r="H48" s="16">
        <f t="shared" si="5"/>
        <v>4.775549188156638E-2</v>
      </c>
    </row>
    <row r="49" spans="2:8">
      <c r="C49" s="4" t="s">
        <v>239</v>
      </c>
      <c r="D49" s="4"/>
      <c r="E49" s="4"/>
      <c r="F49" s="4"/>
      <c r="G49" s="19">
        <f ca="1">SUM(G50:G51)</f>
        <v>3463</v>
      </c>
      <c r="H49" s="20">
        <f ca="1">G49/G$4</f>
        <v>0.39303143797525819</v>
      </c>
    </row>
    <row r="50" spans="2:8">
      <c r="D50" t="s">
        <v>240</v>
      </c>
      <c r="E50" s="22">
        <f ca="1">Kalkulation!D28</f>
        <v>1</v>
      </c>
      <c r="F50" s="23">
        <f ca="1">F57</f>
        <v>725</v>
      </c>
      <c r="G50" s="21">
        <f ca="1">E50*F50</f>
        <v>725</v>
      </c>
      <c r="H50" s="16">
        <f ca="1">G50/G$49</f>
        <v>0.20935604966791799</v>
      </c>
    </row>
    <row r="51" spans="2:8">
      <c r="D51" t="s">
        <v>241</v>
      </c>
      <c r="E51" s="24">
        <v>2</v>
      </c>
      <c r="F51" s="23">
        <f ca="1">F55</f>
        <v>1369</v>
      </c>
      <c r="G51" s="21">
        <f ca="1">E51*F51</f>
        <v>2738</v>
      </c>
      <c r="H51" s="16">
        <f ca="1">G51/G$49</f>
        <v>0.79064395033208201</v>
      </c>
    </row>
    <row r="53" spans="2:8" ht="15">
      <c r="B53" s="1" t="s">
        <v>241</v>
      </c>
    </row>
    <row r="54" spans="2:8">
      <c r="C54" s="4"/>
      <c r="D54" s="4" t="s">
        <v>91</v>
      </c>
      <c r="E54" s="4" t="s">
        <v>180</v>
      </c>
      <c r="F54" s="4" t="s">
        <v>101</v>
      </c>
      <c r="G54" s="4" t="s">
        <v>102</v>
      </c>
      <c r="H54" s="4" t="s">
        <v>94</v>
      </c>
    </row>
    <row r="55" spans="2:8">
      <c r="C55" s="6" t="s">
        <v>39</v>
      </c>
      <c r="D55" s="6"/>
      <c r="E55" s="6"/>
      <c r="F55" s="17">
        <f ca="1">F56+F64</f>
        <v>1369</v>
      </c>
      <c r="G55" s="17">
        <f t="shared" ref="G55:G66" ca="1" si="6">F55*12</f>
        <v>16428</v>
      </c>
      <c r="H55" s="18">
        <v>1</v>
      </c>
    </row>
    <row r="56" spans="2:8">
      <c r="C56" s="4" t="s">
        <v>40</v>
      </c>
      <c r="D56" s="4"/>
      <c r="E56" s="4"/>
      <c r="F56" s="19">
        <f ca="1">SUM(F57:F63)</f>
        <v>1291</v>
      </c>
      <c r="G56" s="19">
        <f t="shared" ca="1" si="6"/>
        <v>15492</v>
      </c>
      <c r="H56" s="20">
        <f ca="1">G56/G$55</f>
        <v>0.94302410518626734</v>
      </c>
    </row>
    <row r="57" spans="2:8">
      <c r="D57" t="s">
        <v>103</v>
      </c>
      <c r="E57" s="9">
        <v>1</v>
      </c>
      <c r="F57" s="10">
        <f ca="1">Kalkulation!E27</f>
        <v>725</v>
      </c>
      <c r="G57" s="21">
        <f t="shared" ca="1" si="6"/>
        <v>8700</v>
      </c>
      <c r="H57" s="16">
        <f t="shared" ref="H57:H63" ca="1" si="7">G57/G$56</f>
        <v>0.56158017041053443</v>
      </c>
    </row>
    <row r="58" spans="2:8">
      <c r="D58" t="s">
        <v>104</v>
      </c>
      <c r="E58" s="9">
        <v>1</v>
      </c>
      <c r="F58" s="11">
        <v>150</v>
      </c>
      <c r="G58" s="21">
        <f t="shared" si="6"/>
        <v>1800</v>
      </c>
      <c r="H58" s="16">
        <f t="shared" ca="1" si="7"/>
        <v>0.11618900077459333</v>
      </c>
    </row>
    <row r="59" spans="2:8">
      <c r="D59" t="s">
        <v>105</v>
      </c>
      <c r="E59" s="9">
        <v>1</v>
      </c>
      <c r="F59" s="11">
        <v>50</v>
      </c>
      <c r="G59" s="21">
        <f t="shared" si="6"/>
        <v>600</v>
      </c>
      <c r="H59" s="16">
        <f t="shared" ca="1" si="7"/>
        <v>3.8729666924864445E-2</v>
      </c>
    </row>
    <row r="60" spans="2:8">
      <c r="D60" t="s">
        <v>106</v>
      </c>
      <c r="E60" s="9">
        <v>1</v>
      </c>
      <c r="F60" s="11">
        <v>15</v>
      </c>
      <c r="G60" s="21">
        <f t="shared" si="6"/>
        <v>180</v>
      </c>
      <c r="H60" s="16">
        <f t="shared" ca="1" si="7"/>
        <v>1.1618900077459334E-2</v>
      </c>
    </row>
    <row r="61" spans="2:8">
      <c r="D61" t="s">
        <v>107</v>
      </c>
      <c r="E61" s="9">
        <v>1</v>
      </c>
      <c r="F61" s="11">
        <v>10</v>
      </c>
      <c r="G61" s="21">
        <f t="shared" si="6"/>
        <v>120</v>
      </c>
      <c r="H61" s="16">
        <f t="shared" ca="1" si="7"/>
        <v>7.7459333849728895E-3</v>
      </c>
    </row>
    <row r="62" spans="2:8">
      <c r="C62" s="45">
        <v>17</v>
      </c>
      <c r="D62" t="s">
        <v>246</v>
      </c>
      <c r="E62" s="44">
        <f>ROUNDUP(Einnahmen!F34/Einnahmen!C34/20,0)</f>
        <v>19</v>
      </c>
      <c r="F62" s="21">
        <f>E62*C62</f>
        <v>323</v>
      </c>
      <c r="G62" s="21">
        <f t="shared" si="6"/>
        <v>3876</v>
      </c>
      <c r="H62" s="16">
        <f t="shared" ca="1" si="7"/>
        <v>0.25019364833462432</v>
      </c>
    </row>
    <row r="63" spans="2:8">
      <c r="D63" t="s">
        <v>108</v>
      </c>
      <c r="E63" s="14">
        <f>Kalkulation!$D$23+Kalkulation!$D$24+5</f>
        <v>36</v>
      </c>
      <c r="F63" s="11">
        <f>0.5*E63</f>
        <v>18</v>
      </c>
      <c r="G63" s="21">
        <f t="shared" si="6"/>
        <v>216</v>
      </c>
      <c r="H63" s="16">
        <f t="shared" ca="1" si="7"/>
        <v>1.3942680092951201E-2</v>
      </c>
    </row>
    <row r="64" spans="2:8">
      <c r="C64" s="4" t="s">
        <v>14</v>
      </c>
      <c r="D64" s="4"/>
      <c r="E64" s="4"/>
      <c r="F64" s="19">
        <f>SUM(F65:F67)</f>
        <v>78</v>
      </c>
      <c r="G64" s="19">
        <f t="shared" si="6"/>
        <v>936</v>
      </c>
      <c r="H64" s="20">
        <f ca="1">G64/G$55</f>
        <v>5.697589481373265E-2</v>
      </c>
    </row>
    <row r="65" spans="3:8">
      <c r="D65" t="s">
        <v>109</v>
      </c>
      <c r="E65" s="9">
        <v>1</v>
      </c>
      <c r="F65" s="11">
        <v>3</v>
      </c>
      <c r="G65" s="21">
        <f t="shared" si="6"/>
        <v>36</v>
      </c>
      <c r="H65" s="16">
        <f>G65/G$64</f>
        <v>3.8461538461538464E-2</v>
      </c>
    </row>
    <row r="66" spans="3:8">
      <c r="D66" t="s">
        <v>12</v>
      </c>
      <c r="E66" s="9">
        <v>1</v>
      </c>
      <c r="F66" s="11">
        <v>25</v>
      </c>
      <c r="G66" s="21">
        <f t="shared" si="6"/>
        <v>300</v>
      </c>
      <c r="H66" s="16">
        <f ca="1">G66/G$56</f>
        <v>1.9364833462432222E-2</v>
      </c>
    </row>
    <row r="67" spans="3:8">
      <c r="C67" t="s">
        <v>110</v>
      </c>
      <c r="D67" t="s">
        <v>111</v>
      </c>
      <c r="E67" s="9">
        <v>1</v>
      </c>
      <c r="F67" s="11">
        <v>50</v>
      </c>
      <c r="G67" s="21">
        <f>F67*12</f>
        <v>600</v>
      </c>
      <c r="H67" s="16">
        <f>G67/G$64</f>
        <v>0.64102564102564108</v>
      </c>
    </row>
  </sheetData>
  <sheetCalcPr fullCalcOnLoad="1"/>
  <phoneticPr fontId="5" type="noConversion"/>
  <pageMargins left="0.78740157480314965" right="0.78740157480314965" top="1.0236220472440944" bottom="1.0236220472440944" header="0.78740157480314965" footer="0.78740157480314965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7"/>
  <sheetViews>
    <sheetView zoomScale="120" zoomScaleNormal="120" zoomScalePageLayoutView="120" workbookViewId="0">
      <selection activeCell="H31" sqref="H31"/>
    </sheetView>
  </sheetViews>
  <sheetFormatPr baseColWidth="10" defaultColWidth="11.5" defaultRowHeight="12"/>
  <cols>
    <col min="1" max="1" width="1.83203125" customWidth="1"/>
    <col min="2" max="2" width="2" customWidth="1"/>
    <col min="3" max="3" width="14.5" bestFit="1" customWidth="1"/>
    <col min="4" max="4" width="21.5" bestFit="1" customWidth="1"/>
    <col min="5" max="5" width="8.1640625" bestFit="1" customWidth="1"/>
    <col min="6" max="6" width="10.1640625" bestFit="1" customWidth="1"/>
    <col min="7" max="7" width="11.33203125" bestFit="1" customWidth="1"/>
    <col min="8" max="8" width="7.83203125" bestFit="1" customWidth="1"/>
  </cols>
  <sheetData>
    <row r="1" spans="1:8" ht="15">
      <c r="A1" s="1" t="s">
        <v>112</v>
      </c>
    </row>
    <row r="2" spans="1:8" ht="15">
      <c r="B2" s="1" t="s">
        <v>113</v>
      </c>
    </row>
    <row r="3" spans="1:8">
      <c r="C3" s="4"/>
      <c r="D3" s="4" t="s">
        <v>91</v>
      </c>
      <c r="E3" s="4" t="s">
        <v>180</v>
      </c>
      <c r="F3" s="4" t="s">
        <v>92</v>
      </c>
      <c r="G3" s="4" t="s">
        <v>93</v>
      </c>
      <c r="H3" s="4" t="s">
        <v>94</v>
      </c>
    </row>
    <row r="4" spans="1:8">
      <c r="C4" s="6" t="s">
        <v>39</v>
      </c>
      <c r="D4" s="6"/>
      <c r="E4" s="6"/>
      <c r="F4" s="6"/>
      <c r="G4" s="17">
        <f>G5+G19+G22</f>
        <v>2371</v>
      </c>
      <c r="H4" s="18">
        <f>G4/G$4</f>
        <v>1</v>
      </c>
    </row>
    <row r="5" spans="1:8">
      <c r="C5" s="4" t="s">
        <v>114</v>
      </c>
      <c r="D5" s="4"/>
      <c r="E5" s="4"/>
      <c r="F5" s="4"/>
      <c r="G5" s="19">
        <f>SUM(G6:G18)</f>
        <v>1191</v>
      </c>
      <c r="H5" s="20">
        <f>G5/G$4</f>
        <v>0.5023196963306622</v>
      </c>
    </row>
    <row r="6" spans="1:8">
      <c r="C6" t="s">
        <v>20</v>
      </c>
      <c r="D6" t="s">
        <v>115</v>
      </c>
      <c r="E6" s="9">
        <v>1</v>
      </c>
      <c r="F6" s="10">
        <f>Ausgaben!F6</f>
        <v>20</v>
      </c>
      <c r="G6" s="21">
        <f t="shared" ref="G6:G17" si="0">E6*F6</f>
        <v>20</v>
      </c>
      <c r="H6" s="16">
        <f t="shared" ref="H6:H17" si="1">G6/G$5</f>
        <v>1.6792611251049538E-2</v>
      </c>
    </row>
    <row r="7" spans="1:8">
      <c r="C7" t="s">
        <v>20</v>
      </c>
      <c r="D7" t="s">
        <v>116</v>
      </c>
      <c r="E7" s="9">
        <v>1</v>
      </c>
      <c r="F7" s="10">
        <f>Ausgaben!F11</f>
        <v>50</v>
      </c>
      <c r="G7" s="21">
        <f t="shared" si="0"/>
        <v>50</v>
      </c>
      <c r="H7" s="16">
        <f t="shared" si="1"/>
        <v>4.1981528127623846E-2</v>
      </c>
    </row>
    <row r="8" spans="1:8">
      <c r="D8" t="s">
        <v>117</v>
      </c>
      <c r="E8" s="9">
        <v>1</v>
      </c>
      <c r="F8" s="10">
        <f>Ausgaben!F6</f>
        <v>20</v>
      </c>
      <c r="G8" s="21">
        <f t="shared" si="0"/>
        <v>20</v>
      </c>
      <c r="H8" s="16">
        <f t="shared" si="1"/>
        <v>1.6792611251049538E-2</v>
      </c>
    </row>
    <row r="9" spans="1:8">
      <c r="D9" t="s">
        <v>118</v>
      </c>
      <c r="E9" s="9">
        <v>1.5</v>
      </c>
      <c r="F9" s="10">
        <f>Ausgaben!F11</f>
        <v>50</v>
      </c>
      <c r="G9" s="21">
        <f t="shared" si="0"/>
        <v>75</v>
      </c>
      <c r="H9" s="16">
        <f t="shared" si="1"/>
        <v>6.2972292191435769E-2</v>
      </c>
    </row>
    <row r="10" spans="1:8">
      <c r="D10" t="s">
        <v>119</v>
      </c>
      <c r="E10" s="9">
        <v>1</v>
      </c>
      <c r="F10" s="10">
        <f>Ausgaben!F29</f>
        <v>125</v>
      </c>
      <c r="G10" s="21">
        <f t="shared" si="0"/>
        <v>125</v>
      </c>
      <c r="H10" s="16">
        <f t="shared" si="1"/>
        <v>0.10495382031905962</v>
      </c>
    </row>
    <row r="11" spans="1:8">
      <c r="D11" t="s">
        <v>120</v>
      </c>
      <c r="E11" s="9">
        <v>2</v>
      </c>
      <c r="F11" s="10">
        <f>Ausgaben!F7</f>
        <v>40</v>
      </c>
      <c r="G11" s="21">
        <f t="shared" si="0"/>
        <v>80</v>
      </c>
      <c r="H11" s="16">
        <f t="shared" si="1"/>
        <v>6.7170445004198151E-2</v>
      </c>
    </row>
    <row r="12" spans="1:8">
      <c r="D12" t="s">
        <v>121</v>
      </c>
      <c r="E12" s="9">
        <v>1</v>
      </c>
      <c r="F12" s="10">
        <f>Ausgaben!F17</f>
        <v>400</v>
      </c>
      <c r="G12" s="21">
        <f t="shared" si="0"/>
        <v>400</v>
      </c>
      <c r="H12" s="16">
        <f t="shared" si="1"/>
        <v>0.33585222502099077</v>
      </c>
    </row>
    <row r="13" spans="1:8">
      <c r="D13" t="s">
        <v>0</v>
      </c>
      <c r="E13" s="9">
        <v>2</v>
      </c>
      <c r="F13" s="10">
        <f>Ausgaben!F19</f>
        <v>30</v>
      </c>
      <c r="G13" s="21">
        <f t="shared" si="0"/>
        <v>60</v>
      </c>
      <c r="H13" s="16">
        <f t="shared" si="1"/>
        <v>5.0377833753148617E-2</v>
      </c>
    </row>
    <row r="14" spans="1:8">
      <c r="D14" t="s">
        <v>1</v>
      </c>
      <c r="E14" s="9">
        <v>5</v>
      </c>
      <c r="F14" s="10">
        <f>Ausgaben!F18</f>
        <v>3</v>
      </c>
      <c r="G14" s="21">
        <f t="shared" si="0"/>
        <v>15</v>
      </c>
      <c r="H14" s="16">
        <f t="shared" si="1"/>
        <v>1.2594458438287154E-2</v>
      </c>
    </row>
    <row r="15" spans="1:8">
      <c r="D15" t="s">
        <v>2</v>
      </c>
      <c r="E15" s="9">
        <v>1</v>
      </c>
      <c r="F15" s="10">
        <f>Ausgaben!F10</f>
        <v>50</v>
      </c>
      <c r="G15" s="21">
        <f t="shared" si="0"/>
        <v>50</v>
      </c>
      <c r="H15" s="16">
        <f t="shared" si="1"/>
        <v>4.1981528127623846E-2</v>
      </c>
    </row>
    <row r="16" spans="1:8">
      <c r="D16" t="s">
        <v>3</v>
      </c>
      <c r="E16" s="9">
        <v>4</v>
      </c>
      <c r="F16" s="10">
        <f>Ausgaben!F32+Ausgaben!F34+Ausgaben!F33</f>
        <v>19</v>
      </c>
      <c r="G16" s="21">
        <f t="shared" si="0"/>
        <v>76</v>
      </c>
      <c r="H16" s="16">
        <f t="shared" si="1"/>
        <v>6.381192275398824E-2</v>
      </c>
    </row>
    <row r="17" spans="2:8">
      <c r="D17" t="s">
        <v>85</v>
      </c>
      <c r="E17" s="9">
        <v>1</v>
      </c>
      <c r="F17" s="10">
        <f>Ausgaben!F30</f>
        <v>150</v>
      </c>
      <c r="G17" s="21">
        <f t="shared" si="0"/>
        <v>150</v>
      </c>
      <c r="H17" s="16">
        <f t="shared" si="1"/>
        <v>0.12594458438287154</v>
      </c>
    </row>
    <row r="18" spans="2:8">
      <c r="C18" t="s">
        <v>20</v>
      </c>
      <c r="D18" t="s">
        <v>80</v>
      </c>
      <c r="E18" s="9">
        <v>2</v>
      </c>
      <c r="F18" s="10">
        <f>Ausgaben!F24</f>
        <v>35</v>
      </c>
      <c r="G18" s="21">
        <f t="shared" ref="G18" si="2">E18*F18</f>
        <v>70</v>
      </c>
      <c r="H18" s="16">
        <f t="shared" ref="H18" si="3">G18/G$5</f>
        <v>5.877413937867338E-2</v>
      </c>
    </row>
    <row r="19" spans="2:8">
      <c r="C19" s="4" t="s">
        <v>4</v>
      </c>
      <c r="D19" s="4"/>
      <c r="E19" s="4"/>
      <c r="F19" s="4"/>
      <c r="G19" s="19">
        <f>SUM(G20:G21)</f>
        <v>800</v>
      </c>
      <c r="H19" s="20">
        <f>G19/G$4</f>
        <v>0.33741037536904261</v>
      </c>
    </row>
    <row r="20" spans="2:8">
      <c r="D20" t="s">
        <v>124</v>
      </c>
      <c r="E20" s="9">
        <v>1</v>
      </c>
      <c r="F20" s="11">
        <v>500</v>
      </c>
      <c r="G20" s="21">
        <f>E20*F20</f>
        <v>500</v>
      </c>
      <c r="H20" s="16">
        <f>G20/G$19</f>
        <v>0.625</v>
      </c>
    </row>
    <row r="21" spans="2:8">
      <c r="D21" t="s">
        <v>169</v>
      </c>
      <c r="E21" s="9">
        <v>1</v>
      </c>
      <c r="F21" s="11">
        <v>300</v>
      </c>
      <c r="G21" s="21">
        <f>E21*F21</f>
        <v>300</v>
      </c>
      <c r="H21" s="16">
        <f>G21/G$19</f>
        <v>0.375</v>
      </c>
    </row>
    <row r="22" spans="2:8">
      <c r="C22" s="4" t="s">
        <v>170</v>
      </c>
      <c r="D22" s="4"/>
      <c r="E22" s="4"/>
      <c r="F22" s="4"/>
      <c r="G22" s="19">
        <f>SUM(G23:G25)</f>
        <v>380</v>
      </c>
      <c r="H22" s="20">
        <f>G22/G$4</f>
        <v>0.16026992830029524</v>
      </c>
    </row>
    <row r="23" spans="2:8">
      <c r="C23" t="s">
        <v>20</v>
      </c>
      <c r="D23" t="s">
        <v>171</v>
      </c>
      <c r="E23" s="9">
        <v>1</v>
      </c>
      <c r="F23" s="10">
        <f>Ausgaben!F22</f>
        <v>300</v>
      </c>
      <c r="G23" s="21">
        <f>E23*F23</f>
        <v>300</v>
      </c>
      <c r="H23" s="16">
        <f>G23/G$19</f>
        <v>0.375</v>
      </c>
    </row>
    <row r="24" spans="2:8">
      <c r="D24" t="s">
        <v>172</v>
      </c>
      <c r="E24" s="9">
        <v>1</v>
      </c>
      <c r="F24" s="10">
        <f>Ausgaben!F39</f>
        <v>50</v>
      </c>
      <c r="G24" s="21">
        <f>E24*F24</f>
        <v>50</v>
      </c>
      <c r="H24" s="16">
        <f>G24/G$19</f>
        <v>6.25E-2</v>
      </c>
    </row>
    <row r="25" spans="2:8">
      <c r="D25" t="s">
        <v>173</v>
      </c>
      <c r="E25" s="9">
        <v>1</v>
      </c>
      <c r="F25" s="10">
        <f>Ausgaben!F19</f>
        <v>30</v>
      </c>
      <c r="G25" s="21">
        <f>E25*F25</f>
        <v>30</v>
      </c>
      <c r="H25" s="16">
        <f>G25/G$19</f>
        <v>3.7499999999999999E-2</v>
      </c>
    </row>
    <row r="26" spans="2:8">
      <c r="D26" s="25"/>
      <c r="E26" s="25"/>
      <c r="F26" s="25"/>
      <c r="G26" s="26"/>
      <c r="H26" s="27"/>
    </row>
    <row r="27" spans="2:8" ht="15">
      <c r="B27" s="1" t="s">
        <v>174</v>
      </c>
    </row>
    <row r="28" spans="2:8">
      <c r="C28" s="4"/>
      <c r="D28" s="4" t="s">
        <v>91</v>
      </c>
      <c r="E28" s="4" t="s">
        <v>180</v>
      </c>
      <c r="F28" s="4" t="s">
        <v>101</v>
      </c>
      <c r="G28" s="4" t="s">
        <v>102</v>
      </c>
      <c r="H28" s="4" t="s">
        <v>94</v>
      </c>
    </row>
    <row r="29" spans="2:8">
      <c r="C29" s="6" t="s">
        <v>39</v>
      </c>
      <c r="D29" s="6"/>
      <c r="E29" s="6"/>
      <c r="F29" s="17">
        <f>F30+F35</f>
        <v>1509</v>
      </c>
      <c r="G29" s="17">
        <f>G30+G35</f>
        <v>21708</v>
      </c>
      <c r="H29" s="18">
        <f>G29/G$29</f>
        <v>1</v>
      </c>
    </row>
    <row r="30" spans="2:8">
      <c r="C30" s="4" t="s">
        <v>175</v>
      </c>
      <c r="D30" s="4"/>
      <c r="E30" s="4"/>
      <c r="F30" s="19">
        <f>SUM(F31:F34)</f>
        <v>899</v>
      </c>
      <c r="G30" s="19">
        <f>SUM(G31:G34)</f>
        <v>14388</v>
      </c>
      <c r="H30" s="20">
        <f>G30/G$29</f>
        <v>0.66279712548369263</v>
      </c>
    </row>
    <row r="31" spans="2:8">
      <c r="D31" t="s">
        <v>176</v>
      </c>
      <c r="E31" s="9">
        <v>12</v>
      </c>
      <c r="F31" s="23">
        <f>Ausgaben!F65</f>
        <v>3</v>
      </c>
      <c r="G31" s="21">
        <f>F31*E31</f>
        <v>36</v>
      </c>
      <c r="H31" s="16">
        <f>G31/G$30</f>
        <v>2.5020850708924102E-3</v>
      </c>
    </row>
    <row r="32" spans="2:8">
      <c r="D32" t="s">
        <v>47</v>
      </c>
      <c r="E32" s="9">
        <v>24</v>
      </c>
      <c r="F32" s="11">
        <v>300</v>
      </c>
      <c r="G32" s="21">
        <f>F32*E32</f>
        <v>7200</v>
      </c>
      <c r="H32" s="16">
        <f>G32/G$30</f>
        <v>0.50041701417848206</v>
      </c>
    </row>
    <row r="33" spans="3:8">
      <c r="D33" t="s">
        <v>84</v>
      </c>
      <c r="E33" s="9">
        <v>12</v>
      </c>
      <c r="F33" s="23">
        <f>Ausgaben!F59</f>
        <v>50</v>
      </c>
      <c r="G33" s="21">
        <f>F33*E33</f>
        <v>600</v>
      </c>
      <c r="H33" s="16">
        <f>G33/G$30</f>
        <v>4.1701417848206836E-2</v>
      </c>
    </row>
    <row r="34" spans="3:8">
      <c r="C34" s="41">
        <v>1.5</v>
      </c>
      <c r="D34" t="s">
        <v>125</v>
      </c>
      <c r="E34" s="43">
        <f>Kalkulation!D30</f>
        <v>13</v>
      </c>
      <c r="F34" s="23">
        <f>7*4*E34*C34</f>
        <v>546</v>
      </c>
      <c r="G34" s="21">
        <f>12*F34</f>
        <v>6552</v>
      </c>
      <c r="H34" s="16">
        <f>G34/G$30</f>
        <v>0.4553794829024187</v>
      </c>
    </row>
    <row r="35" spans="3:8">
      <c r="C35" s="4" t="s">
        <v>71</v>
      </c>
      <c r="D35" s="4"/>
      <c r="E35" s="4"/>
      <c r="F35" s="19">
        <f>SUM(F36:F37)</f>
        <v>610</v>
      </c>
      <c r="G35" s="19">
        <f>SUM(G36:G37)</f>
        <v>7320</v>
      </c>
      <c r="H35" s="20">
        <f>G35/G$29</f>
        <v>0.33720287451630737</v>
      </c>
    </row>
    <row r="36" spans="3:8">
      <c r="D36" t="s">
        <v>72</v>
      </c>
      <c r="E36" s="42">
        <f>Kalkulation!D23</f>
        <v>10</v>
      </c>
      <c r="F36" s="23">
        <f>Kalkulation!E23*E36</f>
        <v>400</v>
      </c>
      <c r="G36" s="21">
        <f>F36*12</f>
        <v>4800</v>
      </c>
      <c r="H36" s="16">
        <f>G36/G$35</f>
        <v>0.65573770491803274</v>
      </c>
    </row>
    <row r="37" spans="3:8">
      <c r="D37" t="s">
        <v>73</v>
      </c>
      <c r="E37" s="14">
        <f>Kalkulation!D24</f>
        <v>21</v>
      </c>
      <c r="F37" s="23">
        <f>Kalkulation!D24*Kalkulation!E24</f>
        <v>210</v>
      </c>
      <c r="G37" s="21">
        <f>F37*12</f>
        <v>2520</v>
      </c>
      <c r="H37" s="16">
        <f>G37/G$35</f>
        <v>0.34426229508196721</v>
      </c>
    </row>
  </sheetData>
  <sheetCalcPr fullCalcOnLoad="1"/>
  <phoneticPr fontId="5" type="noConversion"/>
  <pageMargins left="0.78749999999999998" right="0.78749999999999998" top="1.0249999999999999" bottom="1.0249999999999999" header="0.78749999999999998" footer="0.78749999999999998"/>
  <headerFooter alignWithMargins="0"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Kalkulation</vt:lpstr>
      <vt:lpstr>Raumvergleich</vt:lpstr>
      <vt:lpstr>Ausgaben</vt:lpstr>
      <vt:lpstr>Einnahmen</vt:lpstr>
    </vt:vector>
  </TitlesOfParts>
  <LinksUpToDate>false</LinksUpToDate>
  <SharedDoc>false</SharedDoc>
  <HyperlinksChanged>false</HyperlinksChanged>
  <AppVersion>12.0001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Foo Bar</cp:lastModifiedBy>
  <cp:lastPrinted>2008-05-05T20:46:15Z</cp:lastPrinted>
  <dcterms:created xsi:type="dcterms:W3CDTF">2007-12-05T17:50:11Z</dcterms:created>
  <dcterms:modified xsi:type="dcterms:W3CDTF">2008-05-12T21:47:01Z</dcterms:modified>
</cp:coreProperties>
</file>